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Golub'\СЕССИЯ\ДЛЯ ДИПЛОМА\"/>
    </mc:Choice>
  </mc:AlternateContent>
  <bookViews>
    <workbookView xWindow="240" yWindow="300" windowWidth="14940" windowHeight="9045"/>
  </bookViews>
  <sheets>
    <sheet name="Качественные градации долей Му " sheetId="3" r:id="rId1"/>
    <sheet name="Расчёты на основе Росстата" sheetId="2" r:id="rId2"/>
    <sheet name="Динамика численности мун обр" sheetId="4" r:id="rId3"/>
  </sheets>
  <definedNames>
    <definedName name="_xlnm._FilterDatabase" localSheetId="0" hidden="1">'Качественные градации долей Му '!$A$100:$I$193</definedName>
  </definedNames>
  <calcPr calcId="162913"/>
</workbook>
</file>

<file path=xl/calcChain.xml><?xml version="1.0" encoding="utf-8"?>
<calcChain xmlns="http://schemas.openxmlformats.org/spreadsheetml/2006/main">
  <c r="AA11" i="4" l="1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30" i="4"/>
  <c r="AA31" i="4"/>
  <c r="AA32" i="4"/>
  <c r="AA33" i="4"/>
  <c r="AA34" i="4"/>
  <c r="AA35" i="4"/>
  <c r="AA36" i="4"/>
  <c r="AA37" i="4"/>
  <c r="AA38" i="4"/>
  <c r="AA39" i="4"/>
  <c r="AA40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30" i="4"/>
  <c r="Z31" i="4"/>
  <c r="Z32" i="4"/>
  <c r="Z33" i="4"/>
  <c r="Z34" i="4"/>
  <c r="Z35" i="4"/>
  <c r="Z36" i="4"/>
  <c r="Z37" i="4"/>
  <c r="Z38" i="4"/>
  <c r="Z39" i="4"/>
  <c r="Z40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30" i="4"/>
  <c r="Y31" i="4"/>
  <c r="Y32" i="4"/>
  <c r="Y33" i="4"/>
  <c r="Y34" i="4"/>
  <c r="Y35" i="4"/>
  <c r="Y36" i="4"/>
  <c r="Y37" i="4"/>
  <c r="Y38" i="4"/>
  <c r="Y39" i="4"/>
  <c r="Y40" i="4"/>
  <c r="Y42" i="4"/>
  <c r="Y43" i="4"/>
  <c r="Y44" i="4"/>
  <c r="Y45" i="4"/>
  <c r="Y46" i="4"/>
  <c r="Y47" i="4"/>
  <c r="Y48" i="4"/>
  <c r="Y49" i="4"/>
  <c r="Y50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6" i="4"/>
  <c r="Y77" i="4"/>
  <c r="Y78" i="4"/>
  <c r="Y79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30" i="4"/>
  <c r="X31" i="4"/>
  <c r="X32" i="4"/>
  <c r="X33" i="4"/>
  <c r="X34" i="4"/>
  <c r="X35" i="4"/>
  <c r="X36" i="4"/>
  <c r="X37" i="4"/>
  <c r="X38" i="4"/>
  <c r="X39" i="4"/>
  <c r="X40" i="4"/>
  <c r="X42" i="4"/>
  <c r="X43" i="4"/>
  <c r="X44" i="4"/>
  <c r="X45" i="4"/>
  <c r="X46" i="4"/>
  <c r="X47" i="4"/>
  <c r="X48" i="4"/>
  <c r="X49" i="4"/>
  <c r="X50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6" i="4"/>
  <c r="X77" i="4"/>
  <c r="X78" i="4"/>
  <c r="X79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" i="4"/>
  <c r="D280" i="3"/>
  <c r="D269" i="3"/>
  <c r="D261" i="3"/>
  <c r="D246" i="3"/>
  <c r="D238" i="3"/>
  <c r="D230" i="3"/>
  <c r="D218" i="3"/>
  <c r="D199" i="3"/>
  <c r="D200" i="3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30" i="4"/>
  <c r="W31" i="4"/>
  <c r="W32" i="4"/>
  <c r="W33" i="4"/>
  <c r="W34" i="4"/>
  <c r="W35" i="4"/>
  <c r="W36" i="4"/>
  <c r="W37" i="4"/>
  <c r="W38" i="4"/>
  <c r="W39" i="4"/>
  <c r="W40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30" i="4"/>
  <c r="V31" i="4"/>
  <c r="V32" i="4"/>
  <c r="V33" i="4"/>
  <c r="V34" i="4"/>
  <c r="V35" i="4"/>
  <c r="V36" i="4"/>
  <c r="V37" i="4"/>
  <c r="V38" i="4"/>
  <c r="V39" i="4"/>
  <c r="V40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1" i="4"/>
  <c r="V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30" i="4"/>
  <c r="U31" i="4"/>
  <c r="U32" i="4"/>
  <c r="U33" i="4"/>
  <c r="U34" i="4"/>
  <c r="U35" i="4"/>
  <c r="U36" i="4"/>
  <c r="U37" i="4"/>
  <c r="U38" i="4"/>
  <c r="U39" i="4"/>
  <c r="U40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30" i="4"/>
  <c r="T31" i="4"/>
  <c r="T32" i="4"/>
  <c r="T33" i="4"/>
  <c r="T34" i="4"/>
  <c r="T35" i="4"/>
  <c r="T36" i="4"/>
  <c r="T37" i="4"/>
  <c r="T38" i="4"/>
  <c r="T39" i="4"/>
  <c r="T40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" i="4"/>
  <c r="R92" i="4"/>
  <c r="S92" i="4" s="1"/>
  <c r="O92" i="4"/>
  <c r="P92" i="4"/>
  <c r="J92" i="4"/>
  <c r="K92" i="4"/>
  <c r="L92" i="4"/>
  <c r="M92" i="4"/>
  <c r="I92" i="4"/>
  <c r="P79" i="4"/>
  <c r="O79" i="4"/>
  <c r="J79" i="4"/>
  <c r="K79" i="4"/>
  <c r="L79" i="4"/>
  <c r="M79" i="4"/>
  <c r="I79" i="4"/>
  <c r="R79" i="4" s="1"/>
  <c r="S79" i="4" s="1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80" i="4"/>
  <c r="S81" i="4"/>
  <c r="S82" i="4"/>
  <c r="S83" i="4"/>
  <c r="S84" i="4"/>
  <c r="S85" i="4"/>
  <c r="S86" i="4"/>
  <c r="S87" i="4"/>
  <c r="S88" i="4"/>
  <c r="S89" i="4"/>
  <c r="S90" i="4"/>
  <c r="S91" i="4"/>
  <c r="S93" i="4"/>
  <c r="S94" i="4"/>
  <c r="S95" i="4"/>
  <c r="S96" i="4"/>
  <c r="S97" i="4"/>
  <c r="S98" i="4"/>
  <c r="S99" i="4"/>
  <c r="S100" i="4"/>
  <c r="S101" i="4"/>
  <c r="S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80" i="4"/>
  <c r="R81" i="4"/>
  <c r="R82" i="4"/>
  <c r="R83" i="4"/>
  <c r="R84" i="4"/>
  <c r="R85" i="4"/>
  <c r="R86" i="4"/>
  <c r="R87" i="4"/>
  <c r="R88" i="4"/>
  <c r="R89" i="4"/>
  <c r="R90" i="4"/>
  <c r="R91" i="4"/>
  <c r="R93" i="4"/>
  <c r="R94" i="4"/>
  <c r="R95" i="4"/>
  <c r="R96" i="4"/>
  <c r="R97" i="4"/>
  <c r="R98" i="4"/>
  <c r="R99" i="4"/>
  <c r="R100" i="4"/>
  <c r="R101" i="4"/>
  <c r="R10" i="4"/>
  <c r="P42" i="4" l="1"/>
  <c r="O42" i="4"/>
  <c r="I42" i="4"/>
  <c r="J42" i="4"/>
  <c r="L42" i="4"/>
  <c r="H75" i="4"/>
  <c r="G75" i="4"/>
  <c r="F75" i="4"/>
  <c r="D75" i="4"/>
  <c r="C75" i="4"/>
  <c r="B75" i="4"/>
  <c r="H33" i="4"/>
  <c r="G33" i="4"/>
  <c r="F33" i="4"/>
  <c r="D33" i="4"/>
  <c r="C33" i="4"/>
  <c r="B33" i="4"/>
  <c r="E184" i="3" l="1"/>
  <c r="E185" i="3"/>
  <c r="E186" i="3"/>
  <c r="E187" i="3"/>
  <c r="E188" i="3"/>
  <c r="E189" i="3"/>
  <c r="E192" i="3"/>
  <c r="E193" i="3"/>
  <c r="E183" i="3"/>
  <c r="P193" i="2"/>
  <c r="E122" i="3"/>
  <c r="E124" i="3"/>
  <c r="E125" i="3"/>
  <c r="E126" i="3"/>
  <c r="E128" i="3"/>
  <c r="E129" i="3"/>
  <c r="E130" i="3"/>
  <c r="E131" i="3"/>
  <c r="E121" i="3"/>
  <c r="P127" i="2"/>
  <c r="E119" i="3"/>
  <c r="E104" i="3"/>
  <c r="E105" i="3"/>
  <c r="E106" i="3"/>
  <c r="E107" i="3"/>
  <c r="E108" i="3"/>
  <c r="E109" i="3"/>
  <c r="E110" i="3"/>
  <c r="E111" i="3"/>
  <c r="E113" i="3"/>
  <c r="E114" i="3"/>
  <c r="E115" i="3"/>
  <c r="E116" i="3"/>
  <c r="E117" i="3"/>
  <c r="E118" i="3"/>
  <c r="E103" i="3"/>
  <c r="P108" i="2"/>
  <c r="F104" i="3"/>
  <c r="F105" i="3"/>
  <c r="F106" i="3"/>
  <c r="F107" i="3"/>
  <c r="F108" i="3"/>
  <c r="F109" i="3"/>
  <c r="F110" i="3"/>
  <c r="F111" i="3"/>
  <c r="F113" i="3"/>
  <c r="F114" i="3"/>
  <c r="F115" i="3"/>
  <c r="F116" i="3"/>
  <c r="F117" i="3"/>
  <c r="F118" i="3"/>
  <c r="F119" i="3"/>
  <c r="F121" i="3"/>
  <c r="F122" i="3"/>
  <c r="F124" i="3"/>
  <c r="F125" i="3"/>
  <c r="F126" i="3"/>
  <c r="F128" i="3"/>
  <c r="F129" i="3"/>
  <c r="F130" i="3"/>
  <c r="F131" i="3"/>
  <c r="F133" i="3"/>
  <c r="F134" i="3"/>
  <c r="F135" i="3"/>
  <c r="F136" i="3"/>
  <c r="F137" i="3"/>
  <c r="F138" i="3"/>
  <c r="F139" i="3"/>
  <c r="F141" i="3"/>
  <c r="F142" i="3"/>
  <c r="F143" i="3"/>
  <c r="F144" i="3"/>
  <c r="F145" i="3"/>
  <c r="F146" i="3"/>
  <c r="F147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4" i="3"/>
  <c r="F165" i="3"/>
  <c r="F167" i="3"/>
  <c r="F168" i="3"/>
  <c r="F169" i="3"/>
  <c r="F170" i="3"/>
  <c r="F172" i="3"/>
  <c r="F173" i="3"/>
  <c r="F174" i="3"/>
  <c r="F175" i="3"/>
  <c r="F176" i="3"/>
  <c r="F177" i="3"/>
  <c r="F178" i="3"/>
  <c r="F179" i="3"/>
  <c r="F180" i="3"/>
  <c r="F181" i="3"/>
  <c r="F183" i="3"/>
  <c r="F184" i="3"/>
  <c r="F185" i="3"/>
  <c r="F186" i="3"/>
  <c r="F187" i="3"/>
  <c r="F188" i="3"/>
  <c r="F189" i="3"/>
  <c r="F192" i="3"/>
  <c r="F193" i="3"/>
  <c r="F103" i="3"/>
  <c r="P107" i="2"/>
  <c r="E86" i="3"/>
  <c r="E87" i="3"/>
  <c r="E88" i="3"/>
  <c r="E89" i="3"/>
  <c r="E90" i="3"/>
  <c r="E91" i="3"/>
  <c r="E94" i="3"/>
  <c r="E95" i="3"/>
  <c r="E85" i="3"/>
  <c r="P93" i="2"/>
  <c r="E24" i="3"/>
  <c r="E26" i="3"/>
  <c r="E27" i="3"/>
  <c r="E28" i="3"/>
  <c r="E30" i="3"/>
  <c r="E31" i="3"/>
  <c r="E32" i="3"/>
  <c r="E33" i="3"/>
  <c r="E23" i="3"/>
  <c r="P27" i="2"/>
  <c r="E6" i="3"/>
  <c r="E7" i="3"/>
  <c r="E8" i="3"/>
  <c r="E9" i="3"/>
  <c r="E10" i="3"/>
  <c r="E11" i="3"/>
  <c r="E12" i="3"/>
  <c r="E13" i="3"/>
  <c r="E15" i="3"/>
  <c r="E16" i="3"/>
  <c r="E17" i="3"/>
  <c r="E18" i="3"/>
  <c r="E19" i="3"/>
  <c r="E20" i="3"/>
  <c r="E21" i="3"/>
  <c r="E5" i="3"/>
  <c r="P8" i="2"/>
  <c r="F6" i="3"/>
  <c r="F7" i="3"/>
  <c r="F8" i="3"/>
  <c r="F9" i="3"/>
  <c r="F10" i="3"/>
  <c r="F11" i="3"/>
  <c r="F12" i="3"/>
  <c r="F13" i="3"/>
  <c r="F15" i="3"/>
  <c r="F16" i="3"/>
  <c r="F17" i="3"/>
  <c r="F18" i="3"/>
  <c r="F19" i="3"/>
  <c r="F20" i="3"/>
  <c r="F21" i="3"/>
  <c r="F23" i="3"/>
  <c r="F24" i="3"/>
  <c r="F26" i="3"/>
  <c r="F27" i="3"/>
  <c r="F28" i="3"/>
  <c r="F30" i="3"/>
  <c r="F31" i="3"/>
  <c r="F32" i="3"/>
  <c r="F33" i="3"/>
  <c r="F35" i="3"/>
  <c r="F36" i="3"/>
  <c r="F37" i="3"/>
  <c r="F38" i="3"/>
  <c r="F39" i="3"/>
  <c r="F40" i="3"/>
  <c r="F41" i="3"/>
  <c r="F43" i="3"/>
  <c r="F44" i="3"/>
  <c r="F45" i="3"/>
  <c r="F46" i="3"/>
  <c r="F47" i="3"/>
  <c r="F48" i="3"/>
  <c r="F49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6" i="3"/>
  <c r="F67" i="3"/>
  <c r="F69" i="3"/>
  <c r="F70" i="3"/>
  <c r="F71" i="3"/>
  <c r="F72" i="3"/>
  <c r="F74" i="3"/>
  <c r="F75" i="3"/>
  <c r="F76" i="3"/>
  <c r="F77" i="3"/>
  <c r="F78" i="3"/>
  <c r="F79" i="3"/>
  <c r="F80" i="3"/>
  <c r="F81" i="3"/>
  <c r="F82" i="3"/>
  <c r="F83" i="3"/>
  <c r="F85" i="3"/>
  <c r="F86" i="3"/>
  <c r="F87" i="3"/>
  <c r="F88" i="3"/>
  <c r="F89" i="3"/>
  <c r="F90" i="3"/>
  <c r="F91" i="3"/>
  <c r="F94" i="3"/>
  <c r="F95" i="3"/>
  <c r="F5" i="3"/>
  <c r="P7" i="2"/>
  <c r="E173" i="3" l="1"/>
  <c r="E174" i="3"/>
  <c r="E175" i="3"/>
  <c r="E176" i="3"/>
  <c r="E177" i="3"/>
  <c r="E178" i="3"/>
  <c r="E179" i="3"/>
  <c r="E180" i="3"/>
  <c r="E181" i="3"/>
  <c r="E172" i="3"/>
  <c r="E165" i="3"/>
  <c r="E167" i="3"/>
  <c r="E168" i="3"/>
  <c r="E169" i="3"/>
  <c r="E170" i="3"/>
  <c r="E164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49" i="3"/>
  <c r="E142" i="3"/>
  <c r="E143" i="3"/>
  <c r="E144" i="3"/>
  <c r="E145" i="3"/>
  <c r="E146" i="3"/>
  <c r="E147" i="3"/>
  <c r="E141" i="3"/>
  <c r="E134" i="3"/>
  <c r="E135" i="3"/>
  <c r="E136" i="3"/>
  <c r="E137" i="3"/>
  <c r="E138" i="3"/>
  <c r="E139" i="3"/>
  <c r="E133" i="3"/>
  <c r="E75" i="3"/>
  <c r="E76" i="3"/>
  <c r="E77" i="3"/>
  <c r="E78" i="3"/>
  <c r="E79" i="3"/>
  <c r="E80" i="3"/>
  <c r="E81" i="3"/>
  <c r="E82" i="3"/>
  <c r="E83" i="3"/>
  <c r="E74" i="3"/>
  <c r="E67" i="3"/>
  <c r="E69" i="3"/>
  <c r="E70" i="3"/>
  <c r="E71" i="3"/>
  <c r="E72" i="3"/>
  <c r="E66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51" i="3"/>
  <c r="E44" i="3"/>
  <c r="E45" i="3"/>
  <c r="E46" i="3"/>
  <c r="E47" i="3"/>
  <c r="E48" i="3"/>
  <c r="E49" i="3"/>
  <c r="E43" i="3"/>
  <c r="E36" i="3"/>
  <c r="E37" i="3"/>
  <c r="E38" i="3"/>
  <c r="E39" i="3"/>
  <c r="E40" i="3"/>
  <c r="E41" i="3"/>
  <c r="E35" i="3"/>
  <c r="K93" i="2"/>
  <c r="K73" i="2"/>
  <c r="K58" i="2"/>
  <c r="K50" i="2"/>
  <c r="K41" i="2"/>
  <c r="K27" i="2"/>
  <c r="K8" i="2"/>
  <c r="D240" i="3" l="1"/>
  <c r="D253" i="3"/>
  <c r="D256" i="3"/>
  <c r="D267" i="3"/>
  <c r="D228" i="3"/>
  <c r="D234" i="3"/>
  <c r="D244" i="3"/>
  <c r="D249" i="3"/>
  <c r="D270" i="3"/>
  <c r="D274" i="3"/>
  <c r="D278" i="3"/>
  <c r="D283" i="3"/>
  <c r="D287" i="3"/>
  <c r="C291" i="3"/>
  <c r="D291" i="3" s="1"/>
  <c r="C290" i="3"/>
  <c r="D290" i="3" s="1"/>
  <c r="C282" i="3"/>
  <c r="D282" i="3" s="1"/>
  <c r="C283" i="3"/>
  <c r="C284" i="3"/>
  <c r="D284" i="3" s="1"/>
  <c r="C285" i="3"/>
  <c r="D285" i="3" s="1"/>
  <c r="C286" i="3"/>
  <c r="D286" i="3" s="1"/>
  <c r="C287" i="3"/>
  <c r="C281" i="3"/>
  <c r="D281" i="3" s="1"/>
  <c r="C272" i="3"/>
  <c r="D272" i="3" s="1"/>
  <c r="C273" i="3"/>
  <c r="D273" i="3" s="1"/>
  <c r="C274" i="3"/>
  <c r="C275" i="3"/>
  <c r="D275" i="3" s="1"/>
  <c r="C276" i="3"/>
  <c r="D276" i="3" s="1"/>
  <c r="C277" i="3"/>
  <c r="D277" i="3" s="1"/>
  <c r="C278" i="3"/>
  <c r="C279" i="3"/>
  <c r="D279" i="3" s="1"/>
  <c r="C271" i="3"/>
  <c r="D271" i="3" s="1"/>
  <c r="C268" i="3"/>
  <c r="D268" i="3" s="1"/>
  <c r="C266" i="3"/>
  <c r="D266" i="3" s="1"/>
  <c r="C265" i="3"/>
  <c r="C264" i="3" s="1"/>
  <c r="D264" i="3" s="1"/>
  <c r="C263" i="3"/>
  <c r="D263" i="3" s="1"/>
  <c r="C262" i="3"/>
  <c r="D262" i="3" s="1"/>
  <c r="C258" i="3"/>
  <c r="D258" i="3" s="1"/>
  <c r="C259" i="3"/>
  <c r="D259" i="3" s="1"/>
  <c r="C260" i="3"/>
  <c r="D260" i="3" s="1"/>
  <c r="C257" i="3"/>
  <c r="D257" i="3" s="1"/>
  <c r="C255" i="3"/>
  <c r="D255" i="3" s="1"/>
  <c r="C254" i="3"/>
  <c r="D254" i="3" s="1"/>
  <c r="C248" i="3"/>
  <c r="D248" i="3" s="1"/>
  <c r="C249" i="3"/>
  <c r="C250" i="3"/>
  <c r="D250" i="3" s="1"/>
  <c r="C251" i="3"/>
  <c r="D251" i="3" s="1"/>
  <c r="C252" i="3"/>
  <c r="D252" i="3" s="1"/>
  <c r="C247" i="3"/>
  <c r="D247" i="3" s="1"/>
  <c r="C242" i="3"/>
  <c r="D242" i="3" s="1"/>
  <c r="C243" i="3"/>
  <c r="D243" i="3" s="1"/>
  <c r="C244" i="3"/>
  <c r="C245" i="3"/>
  <c r="D245" i="3" s="1"/>
  <c r="C241" i="3"/>
  <c r="D241" i="3" s="1"/>
  <c r="C239" i="3"/>
  <c r="D239" i="3" s="1"/>
  <c r="C232" i="3"/>
  <c r="D232" i="3" s="1"/>
  <c r="C233" i="3"/>
  <c r="D233" i="3" s="1"/>
  <c r="C234" i="3"/>
  <c r="C235" i="3"/>
  <c r="D235" i="3" s="1"/>
  <c r="C236" i="3"/>
  <c r="D236" i="3" s="1"/>
  <c r="C237" i="3"/>
  <c r="D237" i="3" s="1"/>
  <c r="C231" i="3"/>
  <c r="D231" i="3" s="1"/>
  <c r="C229" i="3"/>
  <c r="D229" i="3" s="1"/>
  <c r="C227" i="3"/>
  <c r="D227" i="3" s="1"/>
  <c r="C228" i="3"/>
  <c r="C226" i="3"/>
  <c r="D226" i="3" s="1"/>
  <c r="C223" i="3"/>
  <c r="D223" i="3" s="1"/>
  <c r="C224" i="3"/>
  <c r="D224" i="3" s="1"/>
  <c r="C222" i="3"/>
  <c r="D222" i="3" s="1"/>
  <c r="C220" i="3"/>
  <c r="D220" i="3" s="1"/>
  <c r="C219" i="3"/>
  <c r="D219" i="3" s="1"/>
  <c r="C202" i="3"/>
  <c r="D202" i="3" s="1"/>
  <c r="C203" i="3"/>
  <c r="D203" i="3" s="1"/>
  <c r="C204" i="3"/>
  <c r="D204" i="3" s="1"/>
  <c r="C205" i="3"/>
  <c r="D205" i="3" s="1"/>
  <c r="C206" i="3"/>
  <c r="D206" i="3" s="1"/>
  <c r="C207" i="3"/>
  <c r="D207" i="3" s="1"/>
  <c r="C208" i="3"/>
  <c r="D208" i="3" s="1"/>
  <c r="C209" i="3"/>
  <c r="D209" i="3" s="1"/>
  <c r="C211" i="3"/>
  <c r="D211" i="3" s="1"/>
  <c r="C212" i="3"/>
  <c r="D212" i="3" s="1"/>
  <c r="C213" i="3"/>
  <c r="D213" i="3" s="1"/>
  <c r="C214" i="3"/>
  <c r="D214" i="3" s="1"/>
  <c r="C215" i="3"/>
  <c r="D215" i="3" s="1"/>
  <c r="C216" i="3"/>
  <c r="D216" i="3" s="1"/>
  <c r="C217" i="3"/>
  <c r="D217" i="3" s="1"/>
  <c r="C201" i="3"/>
  <c r="D201" i="3" s="1"/>
  <c r="B264" i="3"/>
  <c r="Q76" i="2"/>
  <c r="C221" i="3" l="1"/>
  <c r="D265" i="3"/>
  <c r="B221" i="3"/>
  <c r="G184" i="3"/>
  <c r="G187" i="3"/>
  <c r="G174" i="3"/>
  <c r="G176" i="3"/>
  <c r="G180" i="3"/>
  <c r="G172" i="3"/>
  <c r="G167" i="3"/>
  <c r="G150" i="3"/>
  <c r="G152" i="3"/>
  <c r="G154" i="3"/>
  <c r="G158" i="3"/>
  <c r="G160" i="3"/>
  <c r="G162" i="3"/>
  <c r="G142" i="3"/>
  <c r="G145" i="3"/>
  <c r="G146" i="3"/>
  <c r="G141" i="3"/>
  <c r="G135" i="3"/>
  <c r="G137" i="3"/>
  <c r="H121" i="3"/>
  <c r="H125" i="3"/>
  <c r="H126" i="3"/>
  <c r="H129" i="3"/>
  <c r="H130" i="3"/>
  <c r="H131" i="3"/>
  <c r="H135" i="3"/>
  <c r="H136" i="3"/>
  <c r="H138" i="3"/>
  <c r="H139" i="3"/>
  <c r="H143" i="3"/>
  <c r="H144" i="3"/>
  <c r="H147" i="3"/>
  <c r="H151" i="3"/>
  <c r="H152" i="3"/>
  <c r="H153" i="3"/>
  <c r="H155" i="3"/>
  <c r="H156" i="3"/>
  <c r="H157" i="3"/>
  <c r="H159" i="3"/>
  <c r="H160" i="3"/>
  <c r="H161" i="3"/>
  <c r="H165" i="3"/>
  <c r="H167" i="3"/>
  <c r="H169" i="3"/>
  <c r="H170" i="3"/>
  <c r="H174" i="3"/>
  <c r="H175" i="3"/>
  <c r="H176" i="3"/>
  <c r="H179" i="3"/>
  <c r="H183" i="3"/>
  <c r="H187" i="3"/>
  <c r="H188" i="3"/>
  <c r="H189" i="3"/>
  <c r="H193" i="3"/>
  <c r="G122" i="3"/>
  <c r="G124" i="3"/>
  <c r="G125" i="3"/>
  <c r="G126" i="3"/>
  <c r="G129" i="3"/>
  <c r="G131" i="3"/>
  <c r="G121" i="3"/>
  <c r="G107" i="3"/>
  <c r="G111" i="3"/>
  <c r="G115" i="3"/>
  <c r="G117" i="3"/>
  <c r="G119" i="3"/>
  <c r="H113" i="3"/>
  <c r="H115" i="3"/>
  <c r="H119" i="3"/>
  <c r="H105" i="3"/>
  <c r="H107" i="3"/>
  <c r="H109" i="3"/>
  <c r="H111" i="3"/>
  <c r="H192" i="3"/>
  <c r="G186" i="3"/>
  <c r="G178" i="3"/>
  <c r="G170" i="3"/>
  <c r="H128" i="3"/>
  <c r="B123" i="3"/>
  <c r="B166" i="3" s="1"/>
  <c r="H116" i="3"/>
  <c r="H108" i="3"/>
  <c r="H104" i="3"/>
  <c r="G193" i="3"/>
  <c r="G189" i="3"/>
  <c r="H186" i="3"/>
  <c r="H185" i="3"/>
  <c r="G185" i="3"/>
  <c r="G183" i="3"/>
  <c r="H181" i="3"/>
  <c r="G181" i="3"/>
  <c r="H180" i="3"/>
  <c r="G179" i="3"/>
  <c r="H177" i="3"/>
  <c r="G177" i="3"/>
  <c r="G175" i="3"/>
  <c r="H173" i="3"/>
  <c r="G173" i="3"/>
  <c r="H172" i="3"/>
  <c r="G169" i="3"/>
  <c r="H168" i="3"/>
  <c r="G168" i="3"/>
  <c r="G165" i="3"/>
  <c r="H164" i="3"/>
  <c r="G164" i="3"/>
  <c r="H162" i="3"/>
  <c r="G161" i="3"/>
  <c r="H158" i="3"/>
  <c r="G157" i="3"/>
  <c r="G156" i="3"/>
  <c r="G155" i="3"/>
  <c r="H154" i="3"/>
  <c r="G153" i="3"/>
  <c r="H150" i="3"/>
  <c r="H149" i="3"/>
  <c r="G149" i="3"/>
  <c r="G147" i="3"/>
  <c r="H146" i="3"/>
  <c r="H145" i="3"/>
  <c r="G143" i="3"/>
  <c r="H142" i="3"/>
  <c r="H141" i="3"/>
  <c r="G139" i="3"/>
  <c r="G138" i="3"/>
  <c r="G136" i="3"/>
  <c r="H134" i="3"/>
  <c r="G134" i="3"/>
  <c r="H133" i="3"/>
  <c r="G130" i="3"/>
  <c r="G128" i="3"/>
  <c r="H124" i="3"/>
  <c r="H122" i="3"/>
  <c r="H118" i="3"/>
  <c r="G118" i="3"/>
  <c r="H117" i="3"/>
  <c r="G116" i="3"/>
  <c r="H114" i="3"/>
  <c r="G114" i="3"/>
  <c r="G113" i="3"/>
  <c r="H110" i="3"/>
  <c r="G110" i="3"/>
  <c r="G109" i="3"/>
  <c r="H106" i="3"/>
  <c r="G106" i="3"/>
  <c r="G105" i="3"/>
  <c r="H103" i="3"/>
  <c r="G103" i="3"/>
  <c r="H75" i="3"/>
  <c r="H83" i="3"/>
  <c r="H94" i="3"/>
  <c r="G47" i="3"/>
  <c r="G82" i="3"/>
  <c r="G27" i="3"/>
  <c r="G86" i="3"/>
  <c r="G87" i="3"/>
  <c r="G88" i="3"/>
  <c r="G89" i="3"/>
  <c r="G90" i="3"/>
  <c r="G91" i="3"/>
  <c r="G94" i="3"/>
  <c r="G95" i="3"/>
  <c r="G85" i="3"/>
  <c r="G75" i="3"/>
  <c r="G76" i="3"/>
  <c r="G77" i="3"/>
  <c r="G78" i="3"/>
  <c r="G79" i="3"/>
  <c r="G80" i="3"/>
  <c r="G81" i="3"/>
  <c r="G83" i="3"/>
  <c r="G74" i="3"/>
  <c r="G72" i="3"/>
  <c r="G67" i="3"/>
  <c r="G69" i="3"/>
  <c r="G70" i="3"/>
  <c r="G71" i="3"/>
  <c r="G66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51" i="3"/>
  <c r="G44" i="3"/>
  <c r="G45" i="3"/>
  <c r="G46" i="3"/>
  <c r="G48" i="3"/>
  <c r="G49" i="3"/>
  <c r="G43" i="3"/>
  <c r="G36" i="3"/>
  <c r="G37" i="3"/>
  <c r="G38" i="3"/>
  <c r="G39" i="3"/>
  <c r="G40" i="3"/>
  <c r="G41" i="3"/>
  <c r="G35" i="3"/>
  <c r="G33" i="3"/>
  <c r="G24" i="3"/>
  <c r="G26" i="3"/>
  <c r="G28" i="3"/>
  <c r="G30" i="3"/>
  <c r="G31" i="3"/>
  <c r="G32" i="3"/>
  <c r="G23" i="3"/>
  <c r="H23" i="3"/>
  <c r="H24" i="3"/>
  <c r="H26" i="3"/>
  <c r="H27" i="3"/>
  <c r="H28" i="3"/>
  <c r="H30" i="3"/>
  <c r="H31" i="3"/>
  <c r="H32" i="3"/>
  <c r="H33" i="3"/>
  <c r="H35" i="3"/>
  <c r="H36" i="3"/>
  <c r="H37" i="3"/>
  <c r="H38" i="3"/>
  <c r="H39" i="3"/>
  <c r="H40" i="3"/>
  <c r="H41" i="3"/>
  <c r="H43" i="3"/>
  <c r="H44" i="3"/>
  <c r="H45" i="3"/>
  <c r="H46" i="3"/>
  <c r="H47" i="3"/>
  <c r="H48" i="3"/>
  <c r="H49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6" i="3"/>
  <c r="H67" i="3"/>
  <c r="H69" i="3"/>
  <c r="H70" i="3"/>
  <c r="H71" i="3"/>
  <c r="H72" i="3"/>
  <c r="H74" i="3"/>
  <c r="H76" i="3"/>
  <c r="H77" i="3"/>
  <c r="H78" i="3"/>
  <c r="H79" i="3"/>
  <c r="H80" i="3"/>
  <c r="H81" i="3"/>
  <c r="H82" i="3"/>
  <c r="H85" i="3"/>
  <c r="H86" i="3"/>
  <c r="H87" i="3"/>
  <c r="H88" i="3"/>
  <c r="H89" i="3"/>
  <c r="H90" i="3"/>
  <c r="H91" i="3"/>
  <c r="H95" i="3"/>
  <c r="D221" i="3" l="1"/>
  <c r="F166" i="3"/>
  <c r="H166" i="3" s="1"/>
  <c r="E166" i="3"/>
  <c r="G166" i="3" s="1"/>
  <c r="E123" i="3"/>
  <c r="F123" i="3"/>
  <c r="H123" i="3" s="1"/>
  <c r="H184" i="3"/>
  <c r="G188" i="3"/>
  <c r="G192" i="3"/>
  <c r="H178" i="3"/>
  <c r="G151" i="3"/>
  <c r="G159" i="3"/>
  <c r="G144" i="3"/>
  <c r="G133" i="3"/>
  <c r="H137" i="3"/>
  <c r="G104" i="3"/>
  <c r="G108" i="3"/>
  <c r="G123" i="3"/>
  <c r="H13" i="3"/>
  <c r="H15" i="3"/>
  <c r="H16" i="3"/>
  <c r="H17" i="3"/>
  <c r="H18" i="3"/>
  <c r="H19" i="3"/>
  <c r="H20" i="3"/>
  <c r="H21" i="3"/>
  <c r="H6" i="3"/>
  <c r="H7" i="3"/>
  <c r="H8" i="3"/>
  <c r="H9" i="3"/>
  <c r="H10" i="3"/>
  <c r="H11" i="3"/>
  <c r="H12" i="3"/>
  <c r="H5" i="3"/>
  <c r="G15" i="3"/>
  <c r="G16" i="3"/>
  <c r="G17" i="3"/>
  <c r="G18" i="3"/>
  <c r="G19" i="3"/>
  <c r="G20" i="3"/>
  <c r="G21" i="3"/>
  <c r="G5" i="3"/>
  <c r="G6" i="3"/>
  <c r="G7" i="3"/>
  <c r="G8" i="3"/>
  <c r="G9" i="3"/>
  <c r="G10" i="3"/>
  <c r="G11" i="3"/>
  <c r="G12" i="3"/>
  <c r="G13" i="3"/>
  <c r="B25" i="3" l="1"/>
  <c r="B68" i="3"/>
  <c r="K9" i="2"/>
  <c r="O9" i="2"/>
  <c r="F68" i="3" l="1"/>
  <c r="E68" i="3"/>
  <c r="G68" i="3" s="1"/>
  <c r="E25" i="3"/>
  <c r="G25" i="3" s="1"/>
  <c r="F25" i="3"/>
  <c r="H25" i="3" s="1"/>
  <c r="H68" i="3"/>
  <c r="K7" i="2"/>
  <c r="D107" i="2" l="1"/>
  <c r="D108" i="2"/>
  <c r="D127" i="2"/>
  <c r="D141" i="2"/>
  <c r="D150" i="2"/>
  <c r="D158" i="2"/>
  <c r="D173" i="2"/>
  <c r="D182" i="2"/>
  <c r="D193" i="2"/>
  <c r="R8" i="2" l="1"/>
  <c r="R9" i="2"/>
  <c r="R10" i="2"/>
  <c r="R11" i="2"/>
  <c r="R12" i="2"/>
  <c r="R13" i="2"/>
  <c r="R14" i="2"/>
  <c r="R15" i="2"/>
  <c r="R16" i="2"/>
  <c r="R17" i="2"/>
  <c r="R19" i="2"/>
  <c r="R20" i="2"/>
  <c r="R21" i="2"/>
  <c r="R22" i="2"/>
  <c r="R23" i="2"/>
  <c r="R24" i="2"/>
  <c r="R25" i="2"/>
  <c r="R27" i="2"/>
  <c r="R28" i="2"/>
  <c r="R29" i="2"/>
  <c r="R30" i="2"/>
  <c r="R32" i="2"/>
  <c r="R33" i="2"/>
  <c r="R34" i="2"/>
  <c r="R36" i="2"/>
  <c r="R37" i="2"/>
  <c r="R38" i="2"/>
  <c r="R39" i="2"/>
  <c r="R41" i="2"/>
  <c r="R42" i="2"/>
  <c r="R43" i="2"/>
  <c r="R44" i="2"/>
  <c r="R45" i="2"/>
  <c r="R46" i="2"/>
  <c r="R47" i="2"/>
  <c r="R48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3" i="2"/>
  <c r="R104" i="2"/>
  <c r="R7" i="2"/>
  <c r="Q52" i="2"/>
  <c r="Q8" i="2"/>
  <c r="Q9" i="2"/>
  <c r="Q10" i="2"/>
  <c r="Q11" i="2"/>
  <c r="Q12" i="2"/>
  <c r="Q13" i="2"/>
  <c r="Q14" i="2"/>
  <c r="Q15" i="2"/>
  <c r="Q16" i="2"/>
  <c r="Q17" i="2"/>
  <c r="Q19" i="2"/>
  <c r="Q20" i="2"/>
  <c r="Q21" i="2"/>
  <c r="Q22" i="2"/>
  <c r="Q23" i="2"/>
  <c r="Q24" i="2"/>
  <c r="Q25" i="2"/>
  <c r="Q27" i="2"/>
  <c r="Q28" i="2"/>
  <c r="Q29" i="2"/>
  <c r="Q30" i="2"/>
  <c r="Q32" i="2"/>
  <c r="Q33" i="2"/>
  <c r="Q34" i="2"/>
  <c r="Q36" i="2"/>
  <c r="Q37" i="2"/>
  <c r="Q38" i="2"/>
  <c r="Q39" i="2"/>
  <c r="Q41" i="2"/>
  <c r="Q42" i="2"/>
  <c r="Q43" i="2"/>
  <c r="Q44" i="2"/>
  <c r="Q45" i="2"/>
  <c r="Q46" i="2"/>
  <c r="Q47" i="2"/>
  <c r="Q48" i="2"/>
  <c r="Q50" i="2"/>
  <c r="Q51" i="2"/>
  <c r="Q53" i="2"/>
  <c r="Q54" i="2"/>
  <c r="Q55" i="2"/>
  <c r="Q56" i="2"/>
  <c r="Q57" i="2"/>
  <c r="Q58" i="2"/>
  <c r="Q59" i="2"/>
  <c r="Q60" i="2"/>
  <c r="Q61" i="2"/>
  <c r="Q62" i="2"/>
  <c r="Q63" i="2"/>
  <c r="Q64" i="2"/>
  <c r="Q66" i="2"/>
  <c r="Q67" i="2"/>
  <c r="Q69" i="2"/>
  <c r="Q70" i="2"/>
  <c r="Q71" i="2"/>
  <c r="Q72" i="2"/>
  <c r="Q73" i="2"/>
  <c r="Q74" i="2"/>
  <c r="Q75" i="2"/>
  <c r="Q78" i="2"/>
  <c r="Q79" i="2"/>
  <c r="Q81" i="2"/>
  <c r="Q82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3" i="2"/>
  <c r="Q104" i="2"/>
  <c r="Q7" i="2"/>
  <c r="S8" i="2" l="1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7" i="2"/>
  <c r="S28" i="2"/>
  <c r="S29" i="2"/>
  <c r="S30" i="2"/>
  <c r="S32" i="2"/>
  <c r="S33" i="2"/>
  <c r="S34" i="2"/>
  <c r="S35" i="2"/>
  <c r="S36" i="2"/>
  <c r="S37" i="2"/>
  <c r="S38" i="2"/>
  <c r="S39" i="2"/>
  <c r="S41" i="2"/>
  <c r="S42" i="2"/>
  <c r="S43" i="2"/>
  <c r="S44" i="2"/>
  <c r="S45" i="2"/>
  <c r="S46" i="2"/>
  <c r="S47" i="2"/>
  <c r="S48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Q65" i="2" s="1"/>
  <c r="S66" i="2"/>
  <c r="S67" i="2"/>
  <c r="S68" i="2"/>
  <c r="Q68" i="2" s="1"/>
  <c r="S69" i="2"/>
  <c r="S70" i="2"/>
  <c r="S71" i="2"/>
  <c r="S72" i="2"/>
  <c r="S73" i="2"/>
  <c r="S74" i="2"/>
  <c r="S75" i="2"/>
  <c r="S76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7" i="2"/>
  <c r="N28" i="2"/>
  <c r="N29" i="2"/>
  <c r="N30" i="2"/>
  <c r="N32" i="2"/>
  <c r="N33" i="2"/>
  <c r="N34" i="2"/>
  <c r="N35" i="2"/>
  <c r="N36" i="2"/>
  <c r="N37" i="2"/>
  <c r="N38" i="2"/>
  <c r="N39" i="2"/>
  <c r="N41" i="2"/>
  <c r="N42" i="2"/>
  <c r="N43" i="2"/>
  <c r="N44" i="2"/>
  <c r="N45" i="2"/>
  <c r="N46" i="2"/>
  <c r="N47" i="2"/>
  <c r="N48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7" i="2"/>
  <c r="M28" i="2"/>
  <c r="M29" i="2"/>
  <c r="M30" i="2"/>
  <c r="M32" i="2"/>
  <c r="M33" i="2"/>
  <c r="M34" i="2"/>
  <c r="M35" i="2"/>
  <c r="M36" i="2"/>
  <c r="M37" i="2"/>
  <c r="M38" i="2"/>
  <c r="M39" i="2"/>
  <c r="M41" i="2"/>
  <c r="M42" i="2"/>
  <c r="M43" i="2"/>
  <c r="M44" i="2"/>
  <c r="M45" i="2"/>
  <c r="M46" i="2"/>
  <c r="M47" i="2"/>
  <c r="M48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7" i="2"/>
  <c r="L28" i="2"/>
  <c r="L29" i="2"/>
  <c r="L30" i="2"/>
  <c r="L32" i="2"/>
  <c r="L33" i="2"/>
  <c r="L34" i="2"/>
  <c r="L35" i="2"/>
  <c r="L36" i="2"/>
  <c r="L37" i="2"/>
  <c r="L38" i="2"/>
  <c r="L39" i="2"/>
  <c r="L41" i="2"/>
  <c r="L42" i="2"/>
  <c r="L43" i="2"/>
  <c r="L44" i="2"/>
  <c r="L45" i="2"/>
  <c r="L46" i="2"/>
  <c r="L47" i="2"/>
  <c r="L48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N7" i="2"/>
  <c r="M7" i="2"/>
  <c r="L7" i="2"/>
  <c r="K30" i="2"/>
  <c r="K46" i="2"/>
  <c r="K54" i="2"/>
  <c r="K81" i="2"/>
  <c r="O10" i="2"/>
  <c r="K10" i="2" s="1"/>
  <c r="O11" i="2"/>
  <c r="K11" i="2" s="1"/>
  <c r="O12" i="2"/>
  <c r="K12" i="2" s="1"/>
  <c r="O13" i="2"/>
  <c r="K13" i="2" s="1"/>
  <c r="O14" i="2"/>
  <c r="K14" i="2" s="1"/>
  <c r="O15" i="2"/>
  <c r="K15" i="2" s="1"/>
  <c r="O16" i="2"/>
  <c r="K16" i="2" s="1"/>
  <c r="O17" i="2"/>
  <c r="K17" i="2" s="1"/>
  <c r="O18" i="2"/>
  <c r="K18" i="2" s="1"/>
  <c r="O19" i="2"/>
  <c r="K19" i="2" s="1"/>
  <c r="O20" i="2"/>
  <c r="K20" i="2" s="1"/>
  <c r="O21" i="2"/>
  <c r="K21" i="2" s="1"/>
  <c r="O22" i="2"/>
  <c r="K22" i="2" s="1"/>
  <c r="O23" i="2"/>
  <c r="K23" i="2" s="1"/>
  <c r="O24" i="2"/>
  <c r="K24" i="2" s="1"/>
  <c r="O25" i="2"/>
  <c r="K25" i="2" s="1"/>
  <c r="O27" i="2"/>
  <c r="O28" i="2"/>
  <c r="K28" i="2" s="1"/>
  <c r="O29" i="2"/>
  <c r="K29" i="2" s="1"/>
  <c r="O30" i="2"/>
  <c r="O32" i="2"/>
  <c r="K32" i="2" s="1"/>
  <c r="O33" i="2"/>
  <c r="K33" i="2" s="1"/>
  <c r="O34" i="2"/>
  <c r="K34" i="2" s="1"/>
  <c r="O35" i="2"/>
  <c r="K35" i="2" s="1"/>
  <c r="O36" i="2"/>
  <c r="K36" i="2" s="1"/>
  <c r="O37" i="2"/>
  <c r="K37" i="2" s="1"/>
  <c r="O38" i="2"/>
  <c r="K38" i="2" s="1"/>
  <c r="O39" i="2"/>
  <c r="K39" i="2" s="1"/>
  <c r="O41" i="2"/>
  <c r="O42" i="2"/>
  <c r="K42" i="2" s="1"/>
  <c r="O43" i="2"/>
  <c r="K43" i="2" s="1"/>
  <c r="O44" i="2"/>
  <c r="K44" i="2" s="1"/>
  <c r="O45" i="2"/>
  <c r="K45" i="2" s="1"/>
  <c r="O46" i="2"/>
  <c r="O47" i="2"/>
  <c r="K47" i="2" s="1"/>
  <c r="O48" i="2"/>
  <c r="K48" i="2" s="1"/>
  <c r="O50" i="2"/>
  <c r="O51" i="2"/>
  <c r="K51" i="2" s="1"/>
  <c r="O52" i="2"/>
  <c r="K52" i="2" s="1"/>
  <c r="O53" i="2"/>
  <c r="K53" i="2" s="1"/>
  <c r="O54" i="2"/>
  <c r="O55" i="2"/>
  <c r="K55" i="2" s="1"/>
  <c r="O56" i="2"/>
  <c r="K56" i="2" s="1"/>
  <c r="O57" i="2"/>
  <c r="K57" i="2" s="1"/>
  <c r="O58" i="2"/>
  <c r="O59" i="2"/>
  <c r="K59" i="2" s="1"/>
  <c r="O60" i="2"/>
  <c r="K60" i="2" s="1"/>
  <c r="O61" i="2"/>
  <c r="K61" i="2" s="1"/>
  <c r="O62" i="2"/>
  <c r="K62" i="2" s="1"/>
  <c r="O63" i="2"/>
  <c r="K63" i="2" s="1"/>
  <c r="O64" i="2"/>
  <c r="K64" i="2" s="1"/>
  <c r="O65" i="2"/>
  <c r="K65" i="2" s="1"/>
  <c r="O66" i="2"/>
  <c r="K66" i="2" s="1"/>
  <c r="O67" i="2"/>
  <c r="K67" i="2" s="1"/>
  <c r="O68" i="2"/>
  <c r="K68" i="2" s="1"/>
  <c r="O69" i="2"/>
  <c r="K69" i="2" s="1"/>
  <c r="O70" i="2"/>
  <c r="K70" i="2" s="1"/>
  <c r="O71" i="2"/>
  <c r="K71" i="2" s="1"/>
  <c r="O72" i="2"/>
  <c r="K72" i="2" s="1"/>
  <c r="O73" i="2"/>
  <c r="O74" i="2"/>
  <c r="K74" i="2" s="1"/>
  <c r="O75" i="2"/>
  <c r="K75" i="2" s="1"/>
  <c r="O76" i="2"/>
  <c r="K76" i="2" s="1"/>
  <c r="O78" i="2"/>
  <c r="K78" i="2" s="1"/>
  <c r="O79" i="2"/>
  <c r="K79" i="2" s="1"/>
  <c r="O80" i="2"/>
  <c r="K80" i="2" s="1"/>
  <c r="O81" i="2"/>
  <c r="O82" i="2"/>
  <c r="K82" i="2" s="1"/>
  <c r="O83" i="2"/>
  <c r="K83" i="2" s="1"/>
  <c r="O84" i="2"/>
  <c r="K84" i="2" s="1"/>
  <c r="O85" i="2"/>
  <c r="K85" i="2" s="1"/>
  <c r="O86" i="2"/>
  <c r="K86" i="2" s="1"/>
  <c r="O87" i="2"/>
  <c r="K87" i="2" s="1"/>
  <c r="O88" i="2"/>
  <c r="K88" i="2" s="1"/>
  <c r="O89" i="2"/>
  <c r="K89" i="2" s="1"/>
  <c r="O90" i="2"/>
  <c r="K90" i="2" s="1"/>
  <c r="O91" i="2"/>
  <c r="K91" i="2" s="1"/>
  <c r="O92" i="2"/>
  <c r="K92" i="2" s="1"/>
  <c r="O93" i="2"/>
  <c r="O94" i="2"/>
  <c r="K94" i="2" s="1"/>
  <c r="O95" i="2"/>
  <c r="K95" i="2" s="1"/>
  <c r="O96" i="2"/>
  <c r="K96" i="2" s="1"/>
  <c r="O97" i="2"/>
  <c r="K97" i="2" s="1"/>
  <c r="O98" i="2"/>
  <c r="K98" i="2" s="1"/>
  <c r="O99" i="2"/>
  <c r="K99" i="2" s="1"/>
  <c r="O100" i="2"/>
  <c r="K100" i="2" s="1"/>
  <c r="O101" i="2"/>
  <c r="K101" i="2" s="1"/>
  <c r="O102" i="2"/>
  <c r="K102" i="2" s="1"/>
  <c r="O103" i="2"/>
  <c r="K103" i="2" s="1"/>
  <c r="O104" i="2"/>
  <c r="K104" i="2" s="1"/>
  <c r="O8" i="2"/>
  <c r="O7" i="2"/>
</calcChain>
</file>

<file path=xl/sharedStrings.xml><?xml version="1.0" encoding="utf-8"?>
<sst xmlns="http://schemas.openxmlformats.org/spreadsheetml/2006/main" count="1550" uniqueCount="245">
  <si>
    <t>Муниципальные образования</t>
  </si>
  <si>
    <t>Всего</t>
  </si>
  <si>
    <t>в том числе</t>
  </si>
  <si>
    <t>Муниципальные районы</t>
  </si>
  <si>
    <t>Муниципальный округ</t>
  </si>
  <si>
    <t>Городские округа</t>
  </si>
  <si>
    <t>Городской округ с внутригородским делением</t>
  </si>
  <si>
    <t>Внутригородской район</t>
  </si>
  <si>
    <t>Внутригородская территория (внутригородское муниципальное образование) города федерального значения</t>
  </si>
  <si>
    <t>Городское поселение</t>
  </si>
  <si>
    <t>Сельское поселение</t>
  </si>
  <si>
    <t>Российская Федерация</t>
  </si>
  <si>
    <t>A</t>
  </si>
  <si>
    <t>Центральный федеральный округ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</si>
  <si>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</si>
  <si>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</si>
  <si>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</si>
  <si>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</si>
  <si>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</si>
  <si>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</si>
  <si>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</si>
  <si>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</si>
  <si>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</si>
  <si>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</si>
  <si>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</si>
  <si>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</si>
  <si>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</si>
  <si>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</si>
  <si>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</si>
  <si>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</si>
  <si>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</si>
  <si>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Северо-Западный федеральный округ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</si>
  <si>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</si>
  <si>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</si>
  <si>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</si>
  <si>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</si>
  <si>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</si>
  <si>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</si>
  <si>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</si>
  <si>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</si>
  <si>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</si>
  <si>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</si>
  <si>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</si>
  <si>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</si>
  <si>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</si>
  <si>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</si>
  <si>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</si>
  <si>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Северо-Кавказский федеральный округ</t>
  </si>
  <si>
    <t>Республика Дагестан</t>
  </si>
  <si>
    <t>Кабардино-Балкарская Республика</t>
  </si>
  <si>
    <t>Карачаево-Черкесская Республика</t>
  </si>
  <si>
    <t>Республика Северная Осетия-Алания</t>
  </si>
  <si>
    <t>Ставропольский край</t>
  </si>
  <si>
    <t>Приволжский федеральный округ</t>
  </si>
  <si>
    <t>Республика Башкортостан</t>
  </si>
  <si>
    <t>Республика Марий Эл</t>
  </si>
  <si>
    <t>Республика Мордовия</t>
  </si>
  <si>
    <t>Удмуртская Республика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</si>
  <si>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</si>
  <si>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</si>
  <si>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</si>
  <si>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</si>
  <si>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</si>
  <si>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</si>
  <si>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</si>
  <si>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</si>
  <si>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Уральский федеральный округ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</si>
  <si>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</si>
  <si>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</si>
  <si>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</si>
  <si>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</si>
  <si>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Сибирский федеральный округ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</si>
  <si>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</si>
  <si>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</si>
  <si>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</si>
  <si>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</si>
  <si>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</si>
  <si>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</si>
  <si>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Новосибирская область</t>
  </si>
  <si>
    <t>Омская область</t>
  </si>
  <si>
    <t>Томская область</t>
  </si>
  <si>
    <t>Дальневосточный федеральный округ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</si>
  <si>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</si>
  <si>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</si>
  <si>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</si>
  <si>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</si>
  <si>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</si>
  <si>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</si>
  <si>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</si>
  <si>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</si>
  <si>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</si>
  <si>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</si>
  <si>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</si>
  <si>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/>
  </si>
  <si>
    <t>в том числе:</t>
  </si>
  <si>
    <t xml:space="preserve">Ненецкий автономный округ </t>
  </si>
  <si>
    <t xml:space="preserve">Республика Адыгея </t>
  </si>
  <si>
    <t>Республика Ингушетия</t>
  </si>
  <si>
    <t>Чеченская Республика</t>
  </si>
  <si>
    <t>Чувашская Республика</t>
  </si>
  <si>
    <t>Республика Татарстан</t>
  </si>
  <si>
    <t>Кемеровская область</t>
  </si>
  <si>
    <t xml:space="preserve">Число муниципальных образований по субъектам Российской Федерации
 на 1 января 2020 года </t>
  </si>
  <si>
    <t xml:space="preserve">г. Москва </t>
  </si>
  <si>
    <t>г. Санкт-Петербург</t>
  </si>
  <si>
    <t>г. Севастополь</t>
  </si>
  <si>
    <t>Архангельская область без автономного округа</t>
  </si>
  <si>
    <t>Южный федеральный округ</t>
  </si>
  <si>
    <t xml:space="preserve">              в том числе:</t>
  </si>
  <si>
    <t xml:space="preserve">Ханты-Мансийский автономный округ - Югра </t>
  </si>
  <si>
    <t xml:space="preserve">Ямало-Ненецкий автономный округ </t>
  </si>
  <si>
    <t>Тюменская область без автономных округов</t>
  </si>
  <si>
    <t>Доля муниципальных районов (%)</t>
  </si>
  <si>
    <t>Доля муниципальных округов (%)</t>
  </si>
  <si>
    <t>Доля городских округов (%)</t>
  </si>
  <si>
    <t>Доля городских округов с внутригородским делением (%)</t>
  </si>
  <si>
    <t>Среди всех мун. образований, действующих на 1-ом уровне функционирования</t>
  </si>
  <si>
    <t xml:space="preserve">Сумма мун. районов, мун. округов, гор. Округов, Гор. Округов с внутр. дел </t>
  </si>
  <si>
    <t xml:space="preserve">Доля муниципальных образований 1-го уровня (бюджетная автономия) по субъектам Российской Федерации на 1 января 2020 года </t>
  </si>
  <si>
    <t>Доля муниципальных образований (%)</t>
  </si>
  <si>
    <t xml:space="preserve">Сумма городских и сельских поселений </t>
  </si>
  <si>
    <t>Доля городских, сельских поселений (%)</t>
  </si>
  <si>
    <t xml:space="preserve">Суммарная доля городских / сельских поселений в составе муниципальных райнонов по субъектам Российской Федерации на 1 января 2020 года </t>
  </si>
  <si>
    <t>Среди всех поселений</t>
  </si>
  <si>
    <t>Доля городских поселений (%)</t>
  </si>
  <si>
    <t>Доля сельских поселений (%)</t>
  </si>
  <si>
    <t>Муниципальные округа к 2022 г. (альтернативный подсчёт)</t>
  </si>
  <si>
    <t>-</t>
  </si>
  <si>
    <t>Качественная градация относительно РФ</t>
  </si>
  <si>
    <t>выше среднего</t>
  </si>
  <si>
    <t>ниже среднего</t>
  </si>
  <si>
    <t>Качественная градация относительно ФО</t>
  </si>
  <si>
    <t>Тюменская область:</t>
  </si>
  <si>
    <t>Архангельская область:</t>
  </si>
  <si>
    <t>Отсутствуют</t>
  </si>
  <si>
    <t>Доля Муниципальных районов (%)</t>
  </si>
  <si>
    <r>
      <t xml:space="preserve">Отношение </t>
    </r>
    <r>
      <rPr>
        <b/>
        <i/>
        <sz val="12"/>
        <color theme="1"/>
        <rFont val="Arial"/>
        <family val="2"/>
        <charset val="204"/>
      </rPr>
      <t xml:space="preserve">доли мун. районов в Субъекте к доле мун. районов в ФО </t>
    </r>
    <r>
      <rPr>
        <b/>
        <sz val="12"/>
        <color theme="1"/>
        <rFont val="Arial"/>
        <family val="2"/>
        <charset val="204"/>
      </rPr>
      <t>(%)</t>
    </r>
  </si>
  <si>
    <r>
      <t xml:space="preserve">Отношение </t>
    </r>
    <r>
      <rPr>
        <b/>
        <i/>
        <sz val="12"/>
        <color theme="1"/>
        <rFont val="Arial"/>
        <family val="2"/>
        <charset val="204"/>
      </rPr>
      <t>доли мун. районов в Субъекте к доле мун. районов в РФ</t>
    </r>
    <r>
      <rPr>
        <b/>
        <sz val="12"/>
        <color theme="1"/>
        <rFont val="Arial"/>
        <family val="2"/>
        <charset val="204"/>
      </rPr>
      <t xml:space="preserve"> (%)</t>
    </r>
  </si>
  <si>
    <t>Δ 1 (%, ФО)</t>
  </si>
  <si>
    <t>Δ 2 (%, РФ)</t>
  </si>
  <si>
    <r>
      <t xml:space="preserve">Таблица 1.1. Доля </t>
    </r>
    <r>
      <rPr>
        <b/>
        <u/>
        <sz val="12"/>
        <color theme="1"/>
        <rFont val="Arial"/>
        <family val="2"/>
        <charset val="204"/>
      </rPr>
      <t>муниципальных районов</t>
    </r>
    <r>
      <rPr>
        <b/>
        <sz val="12"/>
        <color theme="1"/>
        <rFont val="Arial"/>
        <family val="2"/>
        <charset val="204"/>
      </rPr>
      <t xml:space="preserve"> Среди всех мун. образований, действующих на 1-ом уровне функционирования</t>
    </r>
  </si>
  <si>
    <r>
      <t xml:space="preserve">Таблица 1.2. Доля  </t>
    </r>
    <r>
      <rPr>
        <b/>
        <u/>
        <sz val="12"/>
        <color theme="1"/>
        <rFont val="Arial"/>
        <family val="2"/>
        <charset val="204"/>
      </rPr>
      <t>городских округов</t>
    </r>
    <r>
      <rPr>
        <b/>
        <sz val="12"/>
        <color theme="1"/>
        <rFont val="Arial"/>
        <family val="2"/>
        <charset val="204"/>
      </rPr>
      <t xml:space="preserve"> среди всех мун. образований, действующих на 1-ом уровне функционирования</t>
    </r>
  </si>
  <si>
    <t>Доля Городских округов (%)</t>
  </si>
  <si>
    <r>
      <t xml:space="preserve">Отношение </t>
    </r>
    <r>
      <rPr>
        <b/>
        <i/>
        <sz val="12"/>
        <color theme="1"/>
        <rFont val="Arial"/>
        <family val="2"/>
        <charset val="204"/>
      </rPr>
      <t xml:space="preserve">доли гор.округов в Субъекте к доле гор.округов в ФО </t>
    </r>
    <r>
      <rPr>
        <b/>
        <sz val="12"/>
        <color theme="1"/>
        <rFont val="Arial"/>
        <family val="2"/>
        <charset val="204"/>
      </rPr>
      <t>(%)</t>
    </r>
  </si>
  <si>
    <r>
      <t xml:space="preserve">Отношение </t>
    </r>
    <r>
      <rPr>
        <b/>
        <i/>
        <sz val="12"/>
        <color theme="1"/>
        <rFont val="Arial"/>
        <family val="2"/>
        <charset val="204"/>
      </rPr>
      <t>доли гор.округов в Субъекте к доле гор.округов в РФ</t>
    </r>
    <r>
      <rPr>
        <b/>
        <sz val="12"/>
        <color theme="1"/>
        <rFont val="Arial"/>
        <family val="2"/>
        <charset val="204"/>
      </rPr>
      <t xml:space="preserve"> (%)</t>
    </r>
  </si>
  <si>
    <t>Крайнее значение</t>
  </si>
  <si>
    <t xml:space="preserve">Таблица 1.3. Суммарная доля городских / сельских поселений в составе муниципальных райнонов по субъектам Российской Федерации на 1 января 2020 года </t>
  </si>
  <si>
    <t xml:space="preserve">Доля муниципальных районов при убирании из выборки крайних значений (%) </t>
  </si>
  <si>
    <t xml:space="preserve">Доля городских округов при убирании из выборки крайних значений (%) </t>
  </si>
  <si>
    <t>№</t>
  </si>
  <si>
    <t>Среднее значение</t>
  </si>
  <si>
    <t>0-6</t>
  </si>
  <si>
    <t>6 12</t>
  </si>
  <si>
    <t>12 18</t>
  </si>
  <si>
    <t>18 24</t>
  </si>
  <si>
    <t>24 30</t>
  </si>
  <si>
    <t>40 ос цвет</t>
  </si>
  <si>
    <t>100 Ос цвет</t>
  </si>
  <si>
    <t>0,1 -6</t>
  </si>
  <si>
    <t>-6,1 -12</t>
  </si>
  <si>
    <t>-12,1 -24</t>
  </si>
  <si>
    <t>-24,1 -36</t>
  </si>
  <si>
    <t>-36,1 - 48</t>
  </si>
  <si>
    <t>- 48...</t>
  </si>
  <si>
    <t>60 ос цвет град</t>
  </si>
  <si>
    <t>50-60-80 град</t>
  </si>
  <si>
    <t>80 град</t>
  </si>
  <si>
    <t>0,1 15</t>
  </si>
  <si>
    <t>15,1 30</t>
  </si>
  <si>
    <t>30,1 60</t>
  </si>
  <si>
    <t>60,1 90</t>
  </si>
  <si>
    <t>90,1 150</t>
  </si>
  <si>
    <t>Выш 150</t>
  </si>
  <si>
    <t>30,1 45,1</t>
  </si>
  <si>
    <t>45,1 60</t>
  </si>
  <si>
    <t>60,1 75</t>
  </si>
  <si>
    <t>Ниже - 75</t>
  </si>
  <si>
    <t xml:space="preserve">Число муниципальных образований  по Российской Федерации 
и по субъектам Российской Федерации на  1 января  2010 года </t>
  </si>
  <si>
    <t>единиц</t>
  </si>
  <si>
    <t>всего</t>
  </si>
  <si>
    <t>в том числе по типам</t>
  </si>
  <si>
    <t>муни-ципаль-             ные районы</t>
  </si>
  <si>
    <t>городские округа</t>
  </si>
  <si>
    <t>внутри-город-ская терри-тория города федераль-ного значения</t>
  </si>
  <si>
    <t>поселения</t>
  </si>
  <si>
    <t xml:space="preserve">в том числе </t>
  </si>
  <si>
    <t>городские</t>
  </si>
  <si>
    <t>сельские</t>
  </si>
  <si>
    <t xml:space="preserve">  Российская Федерация</t>
  </si>
  <si>
    <t xml:space="preserve"> Центральный  федеральный  округ</t>
  </si>
  <si>
    <t>г.Москва</t>
  </si>
  <si>
    <t xml:space="preserve"> Северо-Западный  федеральный  округ</t>
  </si>
  <si>
    <t>г.Санкт-Петербург</t>
  </si>
  <si>
    <t xml:space="preserve"> Южный  федеральный  округ</t>
  </si>
  <si>
    <t>Республика Адыгея</t>
  </si>
  <si>
    <t xml:space="preserve"> Северо-Кавказский  федеральный  округ</t>
  </si>
  <si>
    <t>Республика Северная Осетия- Алания</t>
  </si>
  <si>
    <t xml:space="preserve"> Приволжский  федеральный  округ</t>
  </si>
  <si>
    <t>Hижегородская область</t>
  </si>
  <si>
    <t xml:space="preserve"> Уральский  федеральный  округ</t>
  </si>
  <si>
    <t>Ямало-Hенецкий автономный округ</t>
  </si>
  <si>
    <t xml:space="preserve"> Сибирский  федеральный  округ</t>
  </si>
  <si>
    <t xml:space="preserve"> Дальневосточный  федеральный  округ</t>
  </si>
  <si>
    <t>Муниципальные образования на 01.01.2010</t>
  </si>
  <si>
    <t>Муниципальные образования на 01.01.2020</t>
  </si>
  <si>
    <t>муниципальные районы</t>
  </si>
  <si>
    <t>Поселения</t>
  </si>
  <si>
    <t>Городские</t>
  </si>
  <si>
    <t>Сельские</t>
  </si>
  <si>
    <t>Архангельская область без округа</t>
  </si>
  <si>
    <t xml:space="preserve"> Hенецкий автономный округ</t>
  </si>
  <si>
    <t>Тюменская область без округов</t>
  </si>
  <si>
    <t xml:space="preserve">                                                            Ханты-Мансийский автономный округ  - Югра</t>
  </si>
  <si>
    <t>Центральный  федеральный  округ</t>
  </si>
  <si>
    <t>Hенецкий автономный округ</t>
  </si>
  <si>
    <t>Сибирский  федеральный  округ (в границах 2010 г.)</t>
  </si>
  <si>
    <t xml:space="preserve"> Дальневосточный  федеральный округ (в границах 2010 г.)</t>
  </si>
  <si>
    <t>Δ МО (%)</t>
  </si>
  <si>
    <t>Отношение числа МО в 2020 г. к их числу в 2010 г.</t>
  </si>
  <si>
    <t>Отношение числа мун. районов в 2020 г. к их числу в 2010 г.</t>
  </si>
  <si>
    <t>0</t>
  </si>
  <si>
    <t>Δ Мун. районы (%)</t>
  </si>
  <si>
    <t>Отношение числа гор. округов в 2020 г. к их числу в 2010 г.</t>
  </si>
  <si>
    <t>Ханты-Мансийский автономный округ  - Югра</t>
  </si>
  <si>
    <t>Δ Гор. округа (%)</t>
  </si>
  <si>
    <t xml:space="preserve">Доля муниципальных районов среди всех муниципальных образований, действующих на 1-ом уровне функционирования, по Субъектам Российской Федерации на 01.01.2020 г.
</t>
  </si>
  <si>
    <t xml:space="preserve">Согласно материалам Росстата «Число муниципальных образований по субъектам Российской Федерации на 1 января 2020 года»
</t>
  </si>
  <si>
    <t xml:space="preserve">Доля городских округов в среди всех муниципальных образований, действующих на 1-ом уровне функционирования, по Субъектам Российской Федерации на 01.01.2020 г.
</t>
  </si>
  <si>
    <t>Отношение числа гор. поселений в 2020 г. к их числу в 2010 г.</t>
  </si>
  <si>
    <t>Δ Гор. поселения (%)</t>
  </si>
  <si>
    <t>Δ Сел. поселения (%)</t>
  </si>
  <si>
    <t>Отношение числа сел. поселений в 2020 г. к их числу в 2010 г.</t>
  </si>
  <si>
    <t>Уральский  федеральный  округ</t>
  </si>
  <si>
    <t>Приволжский  федеральный  округ</t>
  </si>
  <si>
    <t>Северо-Кавказский  федеральный  округ</t>
  </si>
  <si>
    <t>Северо-Западный  федеральный  округ</t>
  </si>
  <si>
    <t>Таблица 2. Изменение численности муниципальных образований за 10 лет (по отношению к 2010 г.) по Субъектам РФ</t>
  </si>
  <si>
    <t>Южный федеральный  округ</t>
  </si>
  <si>
    <t>Отсутствовали</t>
  </si>
  <si>
    <r>
      <t>Соотношение</t>
    </r>
    <r>
      <rPr>
        <b/>
        <i/>
        <sz val="12"/>
        <color theme="1"/>
        <rFont val="Arial"/>
        <family val="2"/>
        <charset val="204"/>
      </rPr>
      <t xml:space="preserve"> городских и сельских поселений </t>
    </r>
    <r>
      <rPr>
        <b/>
        <sz val="12"/>
        <color theme="1"/>
        <rFont val="Arial"/>
        <family val="2"/>
        <charset val="204"/>
      </rPr>
      <t>(%)</t>
    </r>
  </si>
  <si>
    <r>
      <rPr>
        <b/>
        <sz val="14"/>
        <color rgb="FF0070C0"/>
        <rFont val="Arial"/>
        <family val="2"/>
        <charset val="204"/>
      </rPr>
      <t>Синий:</t>
    </r>
    <r>
      <rPr>
        <sz val="14"/>
        <color theme="1"/>
        <rFont val="Arial"/>
        <family val="2"/>
        <charset val="204"/>
      </rPr>
      <t xml:space="preserve"> доля городских поселений в регионе </t>
    </r>
    <r>
      <rPr>
        <u/>
        <sz val="14"/>
        <color theme="1"/>
        <rFont val="Arial"/>
        <family val="2"/>
        <charset val="204"/>
      </rPr>
      <t>выше среднего</t>
    </r>
    <r>
      <rPr>
        <sz val="14"/>
        <color theme="1"/>
        <rFont val="Arial"/>
        <family val="2"/>
        <charset val="204"/>
      </rPr>
      <t xml:space="preserve"> / </t>
    </r>
    <r>
      <rPr>
        <b/>
        <sz val="14"/>
        <color rgb="FFFFC000"/>
        <rFont val="Arial"/>
        <family val="2"/>
        <charset val="204"/>
      </rPr>
      <t>Жёлтый:</t>
    </r>
    <r>
      <rPr>
        <sz val="14"/>
        <color theme="1"/>
        <rFont val="Arial"/>
        <family val="2"/>
        <charset val="204"/>
      </rPr>
      <t xml:space="preserve"> доля сельских поселений в регионе </t>
    </r>
    <r>
      <rPr>
        <u/>
        <sz val="14"/>
        <color theme="1"/>
        <rFont val="Arial"/>
        <family val="2"/>
        <charset val="204"/>
      </rPr>
      <t>выше среднего</t>
    </r>
  </si>
  <si>
    <r>
      <t xml:space="preserve">Доля </t>
    </r>
    <r>
      <rPr>
        <b/>
        <sz val="12"/>
        <color theme="1"/>
        <rFont val="Arial"/>
        <family val="2"/>
        <charset val="204"/>
      </rPr>
      <t>СП</t>
    </r>
    <r>
      <rPr>
        <sz val="12"/>
        <color theme="1"/>
        <rFont val="Arial"/>
        <family val="2"/>
        <charset val="204"/>
      </rPr>
      <t xml:space="preserve"> выше среднего</t>
    </r>
  </si>
  <si>
    <r>
      <t xml:space="preserve">Доля </t>
    </r>
    <r>
      <rPr>
        <b/>
        <sz val="12"/>
        <color theme="1"/>
        <rFont val="Arial"/>
        <family val="2"/>
        <charset val="204"/>
      </rPr>
      <t>ГП</t>
    </r>
    <r>
      <rPr>
        <sz val="12"/>
        <color theme="1"/>
        <rFont val="Arial"/>
        <family val="2"/>
        <charset val="204"/>
      </rPr>
      <t xml:space="preserve"> выше среднего</t>
    </r>
  </si>
  <si>
    <r>
      <t xml:space="preserve">Существуют только </t>
    </r>
    <r>
      <rPr>
        <b/>
        <sz val="12"/>
        <color theme="1"/>
        <rFont val="Arial"/>
        <family val="2"/>
        <charset val="204"/>
      </rPr>
      <t>СП</t>
    </r>
  </si>
  <si>
    <t>Поселения отсутствуют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</si>
</sst>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* #,##0\ &quot;₽&quot;_-;\-* #,##0\ &quot;₽&quot;_-;_-* &quot;-&quot;\ &quot;₽&quot;_-;_-@_-"/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0.0"/>
  </numFmts>
  <fonts count="5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3" tint="0.39997558519241921"/>
      <name val="Arial"/>
      <family val="2"/>
    </font>
    <font>
      <b/>
      <sz val="8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8"/>
      <color rgb="FF00B050"/>
      <name val="Times New Roman"/>
      <family val="1"/>
      <charset val="204"/>
    </font>
    <font>
      <b/>
      <sz val="14"/>
      <color rgb="FF00B0F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</font>
    <font>
      <sz val="12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u/>
      <sz val="12"/>
      <color rgb="FF0070C0"/>
      <name val="Arial"/>
      <family val="2"/>
      <charset val="204"/>
    </font>
    <font>
      <sz val="12"/>
      <color rgb="FF0070C0"/>
      <name val="Arial"/>
      <family val="2"/>
      <charset val="204"/>
    </font>
    <font>
      <b/>
      <i/>
      <sz val="12"/>
      <color theme="1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i/>
      <sz val="12"/>
      <name val="Arial"/>
      <family val="2"/>
      <charset val="204"/>
    </font>
    <font>
      <i/>
      <sz val="12"/>
      <name val="Arial"/>
      <family val="2"/>
      <charset val="204"/>
    </font>
    <font>
      <b/>
      <i/>
      <u/>
      <sz val="12"/>
      <name val="Arial"/>
      <family val="2"/>
      <charset val="204"/>
    </font>
    <font>
      <i/>
      <u/>
      <sz val="12"/>
      <name val="Arial"/>
      <family val="2"/>
      <charset val="204"/>
    </font>
    <font>
      <b/>
      <u/>
      <sz val="12"/>
      <color theme="1"/>
      <name val="Arial"/>
      <family val="2"/>
      <charset val="204"/>
    </font>
    <font>
      <b/>
      <sz val="12"/>
      <color rgb="FF7030A0"/>
      <name val="Arial"/>
      <family val="2"/>
      <charset val="204"/>
    </font>
    <font>
      <b/>
      <u/>
      <sz val="12"/>
      <color rgb="FF7030A0"/>
      <name val="Arial"/>
      <family val="2"/>
      <charset val="204"/>
    </font>
    <font>
      <b/>
      <sz val="12"/>
      <color rgb="FF00B050"/>
      <name val="Arial"/>
      <family val="2"/>
      <charset val="204"/>
    </font>
    <font>
      <sz val="11"/>
      <name val="Calibri"/>
      <family val="2"/>
      <charset val="204"/>
      <scheme val="minor"/>
    </font>
    <font>
      <i/>
      <u/>
      <sz val="10"/>
      <color theme="1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sz val="11"/>
      <color rgb="FF9C0006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b/>
      <sz val="8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2"/>
      <color theme="4"/>
      <name val="Arial"/>
      <family val="2"/>
      <charset val="204"/>
    </font>
    <font>
      <b/>
      <sz val="14"/>
      <color theme="1"/>
      <name val="Arial"/>
      <family val="2"/>
      <charset val="204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sz val="14"/>
      <color theme="1"/>
      <name val="Arial"/>
      <family val="2"/>
      <charset val="204"/>
    </font>
    <font>
      <b/>
      <sz val="14"/>
      <color rgb="FF0070C0"/>
      <name val="Arial"/>
      <family val="2"/>
      <charset val="204"/>
    </font>
    <font>
      <b/>
      <sz val="14"/>
      <color rgb="FFFFC000"/>
      <name val="Arial"/>
      <family val="2"/>
      <charset val="204"/>
    </font>
    <font>
      <u/>
      <sz val="14"/>
      <color theme="1"/>
      <name val="Arial"/>
      <family val="2"/>
      <charset val="204"/>
    </font>
    <font>
      <b/>
      <i/>
      <sz val="12"/>
      <color rgb="FFC00000"/>
      <name val="Arial"/>
      <family val="2"/>
      <charset val="204"/>
    </font>
    <font>
      <b/>
      <i/>
      <u/>
      <sz val="12"/>
      <color rgb="FFC00000"/>
      <name val="Arial"/>
      <family val="2"/>
      <charset val="204"/>
    </font>
    <font>
      <b/>
      <i/>
      <u/>
      <sz val="12"/>
      <color rgb="FFFF0000"/>
      <name val="Arial"/>
      <family val="2"/>
      <charset val="204"/>
    </font>
    <font>
      <sz val="12"/>
      <color rgb="FF000000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7CE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6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double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39" fillId="12" borderId="0" applyNumberFormat="0" applyBorder="0" applyAlignment="0" applyProtection="0"/>
  </cellStyleXfs>
  <cellXfs count="368">
    <xf numFmtId="0" fontId="0" fillId="0" borderId="0" xfId="0"/>
    <xf numFmtId="0" fontId="2" fillId="0" borderId="0" xfId="6" applyNumberFormat="1" applyFont="1" applyFill="1" applyBorder="1" applyAlignment="1" applyProtection="1">
      <alignment horizontal="center" vertical="center" wrapText="1"/>
    </xf>
    <xf numFmtId="0" fontId="3" fillId="0" borderId="1" xfId="6" applyNumberFormat="1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wrapText="1"/>
    </xf>
    <xf numFmtId="0" fontId="4" fillId="0" borderId="0" xfId="0" applyFont="1"/>
    <xf numFmtId="0" fontId="2" fillId="0" borderId="1" xfId="6" applyNumberFormat="1" applyFont="1" applyFill="1" applyBorder="1" applyAlignment="1" applyProtection="1">
      <alignment horizontal="center" vertical="center" wrapText="1"/>
    </xf>
    <xf numFmtId="0" fontId="6" fillId="0" borderId="0" xfId="0" applyFont="1"/>
    <xf numFmtId="0" fontId="5" fillId="0" borderId="1" xfId="6" applyFont="1" applyBorder="1"/>
    <xf numFmtId="49" fontId="5" fillId="0" borderId="1" xfId="6" applyNumberFormat="1" applyFont="1" applyFill="1" applyBorder="1" applyAlignment="1" applyProtection="1"/>
    <xf numFmtId="0" fontId="4" fillId="0" borderId="1" xfId="6" applyFont="1" applyBorder="1"/>
    <xf numFmtId="49" fontId="4" fillId="0" borderId="1" xfId="6" applyNumberFormat="1" applyFont="1" applyFill="1" applyBorder="1" applyAlignment="1" applyProtection="1"/>
    <xf numFmtId="0" fontId="7" fillId="0" borderId="1" xfId="0" applyFont="1" applyBorder="1" applyAlignment="1">
      <alignment horizontal="left" wrapText="1" readingOrder="1"/>
    </xf>
    <xf numFmtId="0" fontId="7" fillId="0" borderId="1" xfId="0" applyFont="1" applyBorder="1" applyAlignment="1">
      <alignment horizontal="left" wrapText="1" indent="1" readingOrder="1"/>
    </xf>
    <xf numFmtId="49" fontId="8" fillId="0" borderId="1" xfId="6" applyNumberFormat="1" applyFont="1" applyFill="1" applyBorder="1" applyAlignment="1" applyProtection="1">
      <alignment vertical="center" wrapText="1"/>
    </xf>
    <xf numFmtId="49" fontId="7" fillId="0" borderId="1" xfId="6" applyNumberFormat="1" applyFont="1" applyFill="1" applyBorder="1" applyAlignment="1" applyProtection="1">
      <alignment vertical="center" wrapText="1"/>
    </xf>
    <xf numFmtId="49" fontId="7" fillId="0" borderId="1" xfId="6" applyNumberFormat="1" applyFont="1" applyFill="1" applyBorder="1" applyAlignment="1" applyProtection="1">
      <alignment horizontal="left" vertical="center" wrapText="1"/>
    </xf>
    <xf numFmtId="49" fontId="8" fillId="0" borderId="1" xfId="6" applyNumberFormat="1" applyFont="1" applyFill="1" applyBorder="1" applyAlignment="1" applyProtection="1">
      <alignment horizontal="left" wrapText="1"/>
    </xf>
    <xf numFmtId="0" fontId="8" fillId="0" borderId="1" xfId="0" applyFont="1" applyBorder="1" applyAlignment="1">
      <alignment horizontal="left" wrapText="1" readingOrder="1"/>
    </xf>
    <xf numFmtId="0" fontId="11" fillId="3" borderId="0" xfId="8"/>
    <xf numFmtId="0" fontId="10" fillId="2" borderId="3" xfId="7" applyNumberFormat="1" applyBorder="1" applyAlignment="1" applyProtection="1">
      <alignment horizontal="center" vertical="center" wrapText="1"/>
    </xf>
    <xf numFmtId="0" fontId="3" fillId="0" borderId="4" xfId="6" applyNumberFormat="1" applyFont="1" applyFill="1" applyBorder="1" applyAlignment="1" applyProtection="1">
      <alignment horizontal="center" vertical="center" wrapText="1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4" fontId="0" fillId="0" borderId="0" xfId="6" applyNumberFormat="1" applyFont="1" applyAlignment="1">
      <alignment horizontal="center"/>
    </xf>
    <xf numFmtId="164" fontId="0" fillId="0" borderId="0" xfId="6" applyNumberFormat="1" applyFont="1"/>
    <xf numFmtId="49" fontId="4" fillId="0" borderId="1" xfId="6" applyNumberFormat="1" applyFont="1" applyFill="1" applyBorder="1" applyAlignment="1" applyProtection="1">
      <alignment horizontal="right"/>
    </xf>
    <xf numFmtId="164" fontId="11" fillId="3" borderId="0" xfId="8" applyNumberFormat="1" applyAlignment="1">
      <alignment horizontal="center"/>
    </xf>
    <xf numFmtId="164" fontId="11" fillId="3" borderId="0" xfId="8" applyNumberFormat="1"/>
    <xf numFmtId="49" fontId="11" fillId="3" borderId="0" xfId="8" applyNumberFormat="1" applyAlignment="1">
      <alignment horizontal="right"/>
    </xf>
    <xf numFmtId="0" fontId="4" fillId="0" borderId="1" xfId="6" applyNumberFormat="1" applyFont="1" applyFill="1" applyBorder="1" applyAlignment="1" applyProtection="1"/>
    <xf numFmtId="0" fontId="4" fillId="0" borderId="1" xfId="6" applyNumberFormat="1" applyFont="1" applyFill="1" applyBorder="1" applyAlignment="1" applyProtection="1">
      <alignment horizontal="right"/>
    </xf>
    <xf numFmtId="0" fontId="5" fillId="0" borderId="1" xfId="6" applyNumberFormat="1" applyFont="1" applyFill="1" applyBorder="1" applyAlignment="1" applyProtection="1"/>
    <xf numFmtId="164" fontId="14" fillId="0" borderId="0" xfId="0" applyNumberFormat="1" applyFont="1"/>
    <xf numFmtId="0" fontId="10" fillId="4" borderId="3" xfId="7" applyNumberFormat="1" applyFill="1" applyBorder="1" applyAlignment="1" applyProtection="1">
      <alignment horizontal="center" vertical="center" wrapText="1"/>
    </xf>
    <xf numFmtId="164" fontId="0" fillId="0" borderId="0" xfId="0" applyNumberFormat="1"/>
    <xf numFmtId="0" fontId="14" fillId="0" borderId="0" xfId="0" applyFont="1"/>
    <xf numFmtId="0" fontId="15" fillId="0" borderId="1" xfId="6" applyNumberFormat="1" applyFont="1" applyFill="1" applyBorder="1" applyAlignment="1" applyProtection="1"/>
    <xf numFmtId="0" fontId="16" fillId="0" borderId="1" xfId="6" applyFont="1" applyBorder="1"/>
    <xf numFmtId="0" fontId="15" fillId="0" borderId="1" xfId="6" applyFont="1" applyBorder="1"/>
    <xf numFmtId="0" fontId="17" fillId="0" borderId="1" xfId="6" applyFont="1" applyBorder="1"/>
    <xf numFmtId="0" fontId="17" fillId="0" borderId="1" xfId="6" applyNumberFormat="1" applyFont="1" applyFill="1" applyBorder="1" applyAlignment="1" applyProtection="1"/>
    <xf numFmtId="0" fontId="18" fillId="0" borderId="1" xfId="6" applyFont="1" applyBorder="1"/>
    <xf numFmtId="49" fontId="21" fillId="0" borderId="1" xfId="6" applyNumberFormat="1" applyFont="1" applyFill="1" applyBorder="1" applyAlignment="1" applyProtection="1">
      <alignment vertical="center" wrapText="1"/>
    </xf>
    <xf numFmtId="0" fontId="21" fillId="0" borderId="1" xfId="0" applyFont="1" applyBorder="1"/>
    <xf numFmtId="0" fontId="21" fillId="6" borderId="1" xfId="0" applyFont="1" applyFill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0" fontId="21" fillId="7" borderId="1" xfId="0" applyFont="1" applyFill="1" applyBorder="1" applyAlignment="1">
      <alignment horizontal="center"/>
    </xf>
    <xf numFmtId="164" fontId="19" fillId="9" borderId="1" xfId="0" applyNumberFormat="1" applyFont="1" applyFill="1" applyBorder="1" applyAlignment="1">
      <alignment horizontal="center"/>
    </xf>
    <xf numFmtId="164" fontId="19" fillId="8" borderId="1" xfId="0" applyNumberFormat="1" applyFont="1" applyFill="1" applyBorder="1" applyAlignment="1">
      <alignment horizontal="center"/>
    </xf>
    <xf numFmtId="49" fontId="22" fillId="0" borderId="11" xfId="6" applyNumberFormat="1" applyFont="1" applyFill="1" applyBorder="1" applyAlignment="1" applyProtection="1">
      <alignment vertical="center" wrapText="1"/>
    </xf>
    <xf numFmtId="0" fontId="21" fillId="5" borderId="12" xfId="0" applyFont="1" applyFill="1" applyBorder="1"/>
    <xf numFmtId="0" fontId="19" fillId="5" borderId="12" xfId="0" applyFont="1" applyFill="1" applyBorder="1" applyAlignment="1">
      <alignment horizontal="center" vertical="center" wrapText="1"/>
    </xf>
    <xf numFmtId="164" fontId="22" fillId="0" borderId="11" xfId="6" applyNumberFormat="1" applyFont="1" applyBorder="1" applyAlignment="1">
      <alignment horizontal="center"/>
    </xf>
    <xf numFmtId="164" fontId="23" fillId="0" borderId="11" xfId="6" applyNumberFormat="1" applyFont="1" applyBorder="1" applyAlignment="1">
      <alignment horizontal="center"/>
    </xf>
    <xf numFmtId="0" fontId="21" fillId="0" borderId="1" xfId="0" applyFont="1" applyBorder="1" applyAlignment="1">
      <alignment horizontal="left" wrapText="1" indent="2" readingOrder="1"/>
    </xf>
    <xf numFmtId="164" fontId="22" fillId="0" borderId="11" xfId="0" applyNumberFormat="1" applyFont="1" applyBorder="1" applyAlignment="1">
      <alignment horizontal="center"/>
    </xf>
    <xf numFmtId="49" fontId="21" fillId="0" borderId="13" xfId="6" applyNumberFormat="1" applyFont="1" applyFill="1" applyBorder="1" applyAlignment="1" applyProtection="1">
      <alignment vertical="center" wrapText="1"/>
    </xf>
    <xf numFmtId="164" fontId="19" fillId="0" borderId="13" xfId="0" applyNumberFormat="1" applyFont="1" applyBorder="1" applyAlignment="1">
      <alignment horizontal="center"/>
    </xf>
    <xf numFmtId="0" fontId="21" fillId="6" borderId="13" xfId="0" applyFont="1" applyFill="1" applyBorder="1" applyAlignment="1">
      <alignment horizontal="center"/>
    </xf>
    <xf numFmtId="0" fontId="21" fillId="0" borderId="13" xfId="0" applyFont="1" applyBorder="1"/>
    <xf numFmtId="49" fontId="22" fillId="10" borderId="14" xfId="6" applyNumberFormat="1" applyFont="1" applyFill="1" applyBorder="1" applyAlignment="1" applyProtection="1">
      <alignment vertical="center" wrapText="1"/>
    </xf>
    <xf numFmtId="164" fontId="22" fillId="10" borderId="15" xfId="6" applyNumberFormat="1" applyFont="1" applyFill="1" applyBorder="1" applyAlignment="1">
      <alignment horizontal="center"/>
    </xf>
    <xf numFmtId="0" fontId="24" fillId="10" borderId="15" xfId="0" applyFont="1" applyFill="1" applyBorder="1" applyAlignment="1">
      <alignment horizontal="center"/>
    </xf>
    <xf numFmtId="164" fontId="23" fillId="10" borderId="16" xfId="6" applyNumberFormat="1" applyFont="1" applyFill="1" applyBorder="1" applyAlignment="1">
      <alignment horizontal="center"/>
    </xf>
    <xf numFmtId="0" fontId="21" fillId="8" borderId="1" xfId="0" applyFont="1" applyFill="1" applyBorder="1"/>
    <xf numFmtId="0" fontId="21" fillId="8" borderId="13" xfId="0" applyFont="1" applyFill="1" applyBorder="1"/>
    <xf numFmtId="164" fontId="19" fillId="8" borderId="13" xfId="0" applyNumberFormat="1" applyFont="1" applyFill="1" applyBorder="1" applyAlignment="1">
      <alignment horizontal="center"/>
    </xf>
    <xf numFmtId="49" fontId="21" fillId="8" borderId="1" xfId="0" applyNumberFormat="1" applyFont="1" applyFill="1" applyBorder="1"/>
    <xf numFmtId="49" fontId="21" fillId="8" borderId="13" xfId="0" applyNumberFormat="1" applyFont="1" applyFill="1" applyBorder="1"/>
    <xf numFmtId="49" fontId="21" fillId="0" borderId="1" xfId="0" applyNumberFormat="1" applyFont="1" applyBorder="1"/>
    <xf numFmtId="49" fontId="21" fillId="0" borderId="13" xfId="0" applyNumberFormat="1" applyFont="1" applyBorder="1"/>
    <xf numFmtId="0" fontId="21" fillId="0" borderId="1" xfId="0" applyFont="1" applyBorder="1" applyAlignment="1">
      <alignment horizontal="left" wrapText="1" indent="1"/>
    </xf>
    <xf numFmtId="49" fontId="20" fillId="0" borderId="13" xfId="0" applyNumberFormat="1" applyFont="1" applyBorder="1"/>
    <xf numFmtId="164" fontId="22" fillId="8" borderId="11" xfId="0" applyNumberFormat="1" applyFont="1" applyFill="1" applyBorder="1" applyAlignment="1">
      <alignment horizontal="center"/>
    </xf>
    <xf numFmtId="164" fontId="23" fillId="8" borderId="11" xfId="0" applyNumberFormat="1" applyFont="1" applyFill="1" applyBorder="1" applyAlignment="1">
      <alignment horizontal="center"/>
    </xf>
    <xf numFmtId="0" fontId="0" fillId="0" borderId="0" xfId="0" applyAlignment="1"/>
    <xf numFmtId="0" fontId="21" fillId="6" borderId="11" xfId="0" applyFont="1" applyFill="1" applyBorder="1" applyAlignment="1">
      <alignment horizontal="center"/>
    </xf>
    <xf numFmtId="0" fontId="21" fillId="9" borderId="1" xfId="0" applyFont="1" applyFill="1" applyBorder="1" applyAlignment="1">
      <alignment horizontal="center"/>
    </xf>
    <xf numFmtId="0" fontId="21" fillId="6" borderId="12" xfId="0" applyFont="1" applyFill="1" applyBorder="1" applyAlignment="1">
      <alignment horizontal="center"/>
    </xf>
    <xf numFmtId="0" fontId="21" fillId="7" borderId="17" xfId="0" applyFont="1" applyFill="1" applyBorder="1" applyAlignment="1">
      <alignment horizontal="center"/>
    </xf>
    <xf numFmtId="0" fontId="21" fillId="7" borderId="12" xfId="0" applyFont="1" applyFill="1" applyBorder="1" applyAlignment="1">
      <alignment horizontal="center"/>
    </xf>
    <xf numFmtId="0" fontId="21" fillId="6" borderId="3" xfId="0" applyFont="1" applyFill="1" applyBorder="1" applyAlignment="1">
      <alignment horizontal="center"/>
    </xf>
    <xf numFmtId="164" fontId="23" fillId="0" borderId="3" xfId="6" applyNumberFormat="1" applyFont="1" applyBorder="1" applyAlignment="1">
      <alignment horizontal="center"/>
    </xf>
    <xf numFmtId="0" fontId="21" fillId="6" borderId="17" xfId="0" applyFont="1" applyFill="1" applyBorder="1" applyAlignment="1">
      <alignment horizontal="center"/>
    </xf>
    <xf numFmtId="164" fontId="23" fillId="8" borderId="3" xfId="6" applyNumberFormat="1" applyFont="1" applyFill="1" applyBorder="1" applyAlignment="1">
      <alignment horizontal="center"/>
    </xf>
    <xf numFmtId="164" fontId="23" fillId="0" borderId="3" xfId="0" applyNumberFormat="1" applyFont="1" applyBorder="1" applyAlignment="1">
      <alignment horizontal="center"/>
    </xf>
    <xf numFmtId="0" fontId="27" fillId="9" borderId="1" xfId="0" applyFont="1" applyFill="1" applyBorder="1" applyAlignment="1">
      <alignment horizontal="center"/>
    </xf>
    <xf numFmtId="164" fontId="26" fillId="10" borderId="1" xfId="0" applyNumberFormat="1" applyFont="1" applyFill="1" applyBorder="1" applyAlignment="1">
      <alignment horizontal="center"/>
    </xf>
    <xf numFmtId="0" fontId="27" fillId="9" borderId="11" xfId="0" applyFont="1" applyFill="1" applyBorder="1" applyAlignment="1">
      <alignment horizontal="center"/>
    </xf>
    <xf numFmtId="164" fontId="28" fillId="8" borderId="11" xfId="6" applyNumberFormat="1" applyFont="1" applyFill="1" applyBorder="1" applyAlignment="1">
      <alignment horizontal="center"/>
    </xf>
    <xf numFmtId="164" fontId="28" fillId="8" borderId="1" xfId="0" applyNumberFormat="1" applyFont="1" applyFill="1" applyBorder="1" applyAlignment="1">
      <alignment horizontal="center"/>
    </xf>
    <xf numFmtId="164" fontId="28" fillId="8" borderId="13" xfId="6" applyNumberFormat="1" applyFont="1" applyFill="1" applyBorder="1" applyAlignment="1">
      <alignment horizontal="center"/>
    </xf>
    <xf numFmtId="164" fontId="28" fillId="8" borderId="13" xfId="0" applyNumberFormat="1" applyFont="1" applyFill="1" applyBorder="1" applyAlignment="1">
      <alignment horizontal="center"/>
    </xf>
    <xf numFmtId="164" fontId="30" fillId="10" borderId="11" xfId="0" applyNumberFormat="1" applyFont="1" applyFill="1" applyBorder="1" applyAlignment="1">
      <alignment horizontal="center"/>
    </xf>
    <xf numFmtId="164" fontId="28" fillId="10" borderId="18" xfId="0" applyNumberFormat="1" applyFont="1" applyFill="1" applyBorder="1" applyAlignment="1">
      <alignment horizontal="center"/>
    </xf>
    <xf numFmtId="164" fontId="30" fillId="10" borderId="11" xfId="6" applyNumberFormat="1" applyFont="1" applyFill="1" applyBorder="1" applyAlignment="1">
      <alignment horizontal="center"/>
    </xf>
    <xf numFmtId="49" fontId="21" fillId="0" borderId="19" xfId="0" applyNumberFormat="1" applyFont="1" applyBorder="1"/>
    <xf numFmtId="164" fontId="19" fillId="8" borderId="19" xfId="0" applyNumberFormat="1" applyFont="1" applyFill="1" applyBorder="1" applyAlignment="1">
      <alignment horizontal="center"/>
    </xf>
    <xf numFmtId="0" fontId="21" fillId="7" borderId="19" xfId="0" applyFont="1" applyFill="1" applyBorder="1" applyAlignment="1">
      <alignment horizontal="center"/>
    </xf>
    <xf numFmtId="164" fontId="28" fillId="8" borderId="19" xfId="0" applyNumberFormat="1" applyFont="1" applyFill="1" applyBorder="1" applyAlignment="1">
      <alignment horizontal="center"/>
    </xf>
    <xf numFmtId="0" fontId="24" fillId="10" borderId="20" xfId="0" applyFont="1" applyFill="1" applyBorder="1" applyAlignment="1">
      <alignment horizontal="center"/>
    </xf>
    <xf numFmtId="0" fontId="19" fillId="5" borderId="19" xfId="0" applyFont="1" applyFill="1" applyBorder="1" applyAlignment="1">
      <alignment horizontal="center" vertical="center" wrapText="1"/>
    </xf>
    <xf numFmtId="164" fontId="23" fillId="10" borderId="15" xfId="6" applyNumberFormat="1" applyFont="1" applyFill="1" applyBorder="1" applyAlignment="1">
      <alignment horizontal="center"/>
    </xf>
    <xf numFmtId="164" fontId="29" fillId="8" borderId="11" xfId="6" applyNumberFormat="1" applyFont="1" applyFill="1" applyBorder="1" applyAlignment="1">
      <alignment horizontal="center"/>
    </xf>
    <xf numFmtId="164" fontId="29" fillId="8" borderId="1" xfId="0" applyNumberFormat="1" applyFont="1" applyFill="1" applyBorder="1" applyAlignment="1">
      <alignment horizontal="center"/>
    </xf>
    <xf numFmtId="164" fontId="29" fillId="8" borderId="13" xfId="6" applyNumberFormat="1" applyFont="1" applyFill="1" applyBorder="1" applyAlignment="1">
      <alignment horizontal="center"/>
    </xf>
    <xf numFmtId="164" fontId="31" fillId="10" borderId="11" xfId="0" applyNumberFormat="1" applyFont="1" applyFill="1" applyBorder="1" applyAlignment="1">
      <alignment horizontal="center"/>
    </xf>
    <xf numFmtId="164" fontId="26" fillId="10" borderId="11" xfId="6" applyNumberFormat="1" applyFont="1" applyFill="1" applyBorder="1" applyAlignment="1">
      <alignment horizontal="center"/>
    </xf>
    <xf numFmtId="0" fontId="21" fillId="7" borderId="3" xfId="0" applyFont="1" applyFill="1" applyBorder="1" applyAlignment="1">
      <alignment horizontal="center"/>
    </xf>
    <xf numFmtId="0" fontId="21" fillId="5" borderId="3" xfId="0" applyFont="1" applyFill="1" applyBorder="1"/>
    <xf numFmtId="0" fontId="19" fillId="5" borderId="3" xfId="0" applyFont="1" applyFill="1" applyBorder="1" applyAlignment="1">
      <alignment horizontal="center" vertical="center" wrapText="1"/>
    </xf>
    <xf numFmtId="0" fontId="19" fillId="5" borderId="23" xfId="0" applyFont="1" applyFill="1" applyBorder="1" applyAlignment="1">
      <alignment horizontal="center" vertical="center" wrapText="1"/>
    </xf>
    <xf numFmtId="49" fontId="33" fillId="0" borderId="11" xfId="6" applyNumberFormat="1" applyFont="1" applyFill="1" applyBorder="1" applyAlignment="1" applyProtection="1">
      <alignment vertical="center" wrapText="1"/>
    </xf>
    <xf numFmtId="164" fontId="33" fillId="0" borderId="11" xfId="6" applyNumberFormat="1" applyFont="1" applyBorder="1" applyAlignment="1">
      <alignment horizontal="center"/>
    </xf>
    <xf numFmtId="164" fontId="34" fillId="0" borderId="11" xfId="6" applyNumberFormat="1" applyFont="1" applyBorder="1" applyAlignment="1">
      <alignment horizontal="center"/>
    </xf>
    <xf numFmtId="0" fontId="21" fillId="7" borderId="13" xfId="0" applyFont="1" applyFill="1" applyBorder="1" applyAlignment="1">
      <alignment horizontal="center"/>
    </xf>
    <xf numFmtId="0" fontId="21" fillId="7" borderId="11" xfId="0" applyFont="1" applyFill="1" applyBorder="1" applyAlignment="1">
      <alignment horizontal="center"/>
    </xf>
    <xf numFmtId="0" fontId="19" fillId="0" borderId="0" xfId="0" applyFont="1" applyAlignment="1">
      <alignment wrapText="1"/>
    </xf>
    <xf numFmtId="164" fontId="29" fillId="8" borderId="19" xfId="6" applyNumberFormat="1" applyFont="1" applyFill="1" applyBorder="1" applyAlignment="1">
      <alignment horizontal="center"/>
    </xf>
    <xf numFmtId="164" fontId="35" fillId="0" borderId="11" xfId="6" applyNumberFormat="1" applyFont="1" applyBorder="1" applyAlignment="1">
      <alignment horizontal="center"/>
    </xf>
    <xf numFmtId="164" fontId="35" fillId="0" borderId="11" xfId="0" applyNumberFormat="1" applyFont="1" applyBorder="1" applyAlignment="1">
      <alignment horizontal="center"/>
    </xf>
    <xf numFmtId="164" fontId="35" fillId="8" borderId="11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 vertical="center" wrapText="1"/>
    </xf>
    <xf numFmtId="164" fontId="9" fillId="0" borderId="0" xfId="6" applyNumberFormat="1" applyFont="1" applyAlignment="1">
      <alignment horizontal="center"/>
    </xf>
    <xf numFmtId="164" fontId="9" fillId="0" borderId="0" xfId="6" applyNumberFormat="1" applyFont="1"/>
    <xf numFmtId="164" fontId="9" fillId="0" borderId="0" xfId="0" applyNumberFormat="1" applyFont="1"/>
    <xf numFmtId="0" fontId="0" fillId="0" borderId="0" xfId="0" applyAlignment="1">
      <alignment horizontal="center"/>
    </xf>
    <xf numFmtId="164" fontId="29" fillId="8" borderId="13" xfId="0" applyNumberFormat="1" applyFont="1" applyFill="1" applyBorder="1" applyAlignment="1">
      <alignment horizontal="center"/>
    </xf>
    <xf numFmtId="164" fontId="29" fillId="8" borderId="19" xfId="0" applyNumberFormat="1" applyFont="1" applyFill="1" applyBorder="1" applyAlignment="1">
      <alignment horizontal="center"/>
    </xf>
    <xf numFmtId="0" fontId="0" fillId="0" borderId="0" xfId="0"/>
    <xf numFmtId="0" fontId="19" fillId="5" borderId="30" xfId="0" applyFont="1" applyFill="1" applyBorder="1" applyAlignment="1">
      <alignment horizontal="center" vertical="center" wrapText="1"/>
    </xf>
    <xf numFmtId="164" fontId="23" fillId="10" borderId="31" xfId="6" applyNumberFormat="1" applyFont="1" applyFill="1" applyBorder="1" applyAlignment="1">
      <alignment horizontal="center"/>
    </xf>
    <xf numFmtId="164" fontId="26" fillId="10" borderId="4" xfId="0" applyNumberFormat="1" applyFont="1" applyFill="1" applyBorder="1" applyAlignment="1">
      <alignment horizontal="center"/>
    </xf>
    <xf numFmtId="164" fontId="28" fillId="8" borderId="4" xfId="0" applyNumberFormat="1" applyFont="1" applyFill="1" applyBorder="1" applyAlignment="1">
      <alignment horizontal="center"/>
    </xf>
    <xf numFmtId="0" fontId="27" fillId="9" borderId="4" xfId="0" applyFont="1" applyFill="1" applyBorder="1" applyAlignment="1">
      <alignment horizontal="center"/>
    </xf>
    <xf numFmtId="164" fontId="28" fillId="8" borderId="32" xfId="0" applyNumberFormat="1" applyFont="1" applyFill="1" applyBorder="1" applyAlignment="1">
      <alignment horizontal="center"/>
    </xf>
    <xf numFmtId="164" fontId="30" fillId="10" borderId="33" xfId="0" applyNumberFormat="1" applyFont="1" applyFill="1" applyBorder="1" applyAlignment="1">
      <alignment horizontal="center"/>
    </xf>
    <xf numFmtId="164" fontId="30" fillId="10" borderId="33" xfId="6" applyNumberFormat="1" applyFont="1" applyFill="1" applyBorder="1" applyAlignment="1">
      <alignment horizontal="center"/>
    </xf>
    <xf numFmtId="164" fontId="28" fillId="10" borderId="34" xfId="0" applyNumberFormat="1" applyFont="1" applyFill="1" applyBorder="1" applyAlignment="1">
      <alignment horizontal="center"/>
    </xf>
    <xf numFmtId="0" fontId="27" fillId="9" borderId="33" xfId="0" applyFont="1" applyFill="1" applyBorder="1" applyAlignment="1">
      <alignment horizontal="center"/>
    </xf>
    <xf numFmtId="164" fontId="28" fillId="8" borderId="35" xfId="0" applyNumberFormat="1" applyFont="1" applyFill="1" applyBorder="1" applyAlignment="1">
      <alignment horizontal="center"/>
    </xf>
    <xf numFmtId="0" fontId="37" fillId="0" borderId="36" xfId="0" applyFont="1" applyBorder="1"/>
    <xf numFmtId="0" fontId="37" fillId="0" borderId="26" xfId="0" applyFont="1" applyBorder="1"/>
    <xf numFmtId="0" fontId="19" fillId="5" borderId="2" xfId="0" applyFont="1" applyFill="1" applyBorder="1" applyAlignment="1">
      <alignment horizontal="center" vertical="center" wrapText="1"/>
    </xf>
    <xf numFmtId="0" fontId="19" fillId="5" borderId="2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0" fontId="21" fillId="8" borderId="1" xfId="0" applyFont="1" applyFill="1" applyBorder="1" applyAlignment="1">
      <alignment horizontal="center"/>
    </xf>
    <xf numFmtId="0" fontId="21" fillId="8" borderId="11" xfId="0" applyFont="1" applyFill="1" applyBorder="1" applyAlignment="1">
      <alignment horizontal="center"/>
    </xf>
    <xf numFmtId="0" fontId="0" fillId="0" borderId="0" xfId="0"/>
    <xf numFmtId="16" fontId="0" fillId="0" borderId="0" xfId="0" applyNumberFormat="1"/>
    <xf numFmtId="49" fontId="0" fillId="0" borderId="0" xfId="0" applyNumberFormat="1"/>
    <xf numFmtId="164" fontId="38" fillId="8" borderId="4" xfId="0" applyNumberFormat="1" applyFont="1" applyFill="1" applyBorder="1" applyAlignment="1">
      <alignment horizontal="center"/>
    </xf>
    <xf numFmtId="49" fontId="33" fillId="10" borderId="14" xfId="6" applyNumberFormat="1" applyFont="1" applyFill="1" applyBorder="1" applyAlignment="1" applyProtection="1">
      <alignment vertical="center" wrapText="1"/>
    </xf>
    <xf numFmtId="164" fontId="33" fillId="10" borderId="15" xfId="6" applyNumberFormat="1" applyFont="1" applyFill="1" applyBorder="1" applyAlignment="1">
      <alignment horizontal="center"/>
    </xf>
    <xf numFmtId="164" fontId="33" fillId="8" borderId="11" xfId="0" applyNumberFormat="1" applyFont="1" applyFill="1" applyBorder="1" applyAlignment="1">
      <alignment horizontal="center"/>
    </xf>
    <xf numFmtId="164" fontId="33" fillId="0" borderId="11" xfId="0" applyNumberFormat="1" applyFont="1" applyBorder="1" applyAlignment="1">
      <alignment horizontal="center"/>
    </xf>
    <xf numFmtId="0" fontId="21" fillId="6" borderId="19" xfId="0" applyFont="1" applyFill="1" applyBorder="1" applyAlignment="1">
      <alignment horizontal="center"/>
    </xf>
    <xf numFmtId="164" fontId="34" fillId="8" borderId="11" xfId="0" applyNumberFormat="1" applyFont="1" applyFill="1" applyBorder="1" applyAlignment="1">
      <alignment horizontal="center"/>
    </xf>
    <xf numFmtId="164" fontId="34" fillId="0" borderId="3" xfId="6" applyNumberFormat="1" applyFont="1" applyBorder="1" applyAlignment="1">
      <alignment horizontal="center"/>
    </xf>
    <xf numFmtId="164" fontId="34" fillId="8" borderId="3" xfId="6" applyNumberFormat="1" applyFont="1" applyFill="1" applyBorder="1" applyAlignment="1">
      <alignment horizontal="center"/>
    </xf>
    <xf numFmtId="164" fontId="34" fillId="10" borderId="15" xfId="6" applyNumberFormat="1" applyFont="1" applyFill="1" applyBorder="1" applyAlignment="1">
      <alignment horizontal="center"/>
    </xf>
    <xf numFmtId="2" fontId="41" fillId="0" borderId="0" xfId="0" applyNumberFormat="1" applyFont="1" applyAlignment="1">
      <alignment horizontal="left" wrapText="1" indent="1" shrinkToFit="1" readingOrder="1"/>
    </xf>
    <xf numFmtId="0" fontId="41" fillId="0" borderId="0" xfId="0" applyFont="1" applyAlignment="1">
      <alignment horizontal="right"/>
    </xf>
    <xf numFmtId="0" fontId="41" fillId="0" borderId="0" xfId="0" applyFont="1" applyAlignment="1">
      <alignment horizontal="right" wrapText="1"/>
    </xf>
    <xf numFmtId="0" fontId="42" fillId="13" borderId="1" xfId="0" applyFont="1" applyFill="1" applyBorder="1" applyAlignment="1">
      <alignment horizontal="center" vertical="top" wrapText="1"/>
    </xf>
    <xf numFmtId="0" fontId="43" fillId="0" borderId="0" xfId="0" applyFont="1" applyAlignment="1">
      <alignment horizontal="left" wrapText="1" readingOrder="1"/>
    </xf>
    <xf numFmtId="0" fontId="43" fillId="0" borderId="0" xfId="0" applyFont="1" applyAlignment="1">
      <alignment horizontal="right" wrapText="1"/>
    </xf>
    <xf numFmtId="0" fontId="43" fillId="14" borderId="0" xfId="0" applyFont="1" applyFill="1" applyAlignment="1">
      <alignment horizontal="left" wrapText="1" readingOrder="1"/>
    </xf>
    <xf numFmtId="0" fontId="43" fillId="14" borderId="0" xfId="0" applyFont="1" applyFill="1" applyAlignment="1">
      <alignment horizontal="right" wrapText="1"/>
    </xf>
    <xf numFmtId="0" fontId="41" fillId="0" borderId="0" xfId="0" applyFont="1" applyAlignment="1">
      <alignment horizontal="left" wrapText="1" readingOrder="1"/>
    </xf>
    <xf numFmtId="0" fontId="41" fillId="0" borderId="0" xfId="0" applyFont="1" applyAlignment="1">
      <alignment horizontal="left" wrapText="1" indent="1" readingOrder="1"/>
    </xf>
    <xf numFmtId="0" fontId="39" fillId="12" borderId="1" xfId="9" applyBorder="1"/>
    <xf numFmtId="0" fontId="39" fillId="12" borderId="0" xfId="9"/>
    <xf numFmtId="0" fontId="0" fillId="0" borderId="0" xfId="0"/>
    <xf numFmtId="0" fontId="0" fillId="0" borderId="0" xfId="0"/>
    <xf numFmtId="0" fontId="5" fillId="0" borderId="4" xfId="6" applyFont="1" applyBorder="1"/>
    <xf numFmtId="0" fontId="4" fillId="0" borderId="4" xfId="6" applyFont="1" applyBorder="1"/>
    <xf numFmtId="0" fontId="4" fillId="0" borderId="4" xfId="6" applyNumberFormat="1" applyFont="1" applyFill="1" applyBorder="1" applyAlignment="1" applyProtection="1"/>
    <xf numFmtId="49" fontId="4" fillId="0" borderId="4" xfId="6" applyNumberFormat="1" applyFont="1" applyFill="1" applyBorder="1" applyAlignment="1" applyProtection="1"/>
    <xf numFmtId="0" fontId="39" fillId="12" borderId="4" xfId="9" applyBorder="1"/>
    <xf numFmtId="0" fontId="0" fillId="0" borderId="1" xfId="0" applyBorder="1"/>
    <xf numFmtId="0" fontId="20" fillId="0" borderId="1" xfId="0" applyFont="1" applyBorder="1" applyAlignment="1">
      <alignment horizontal="center" vertical="center"/>
    </xf>
    <xf numFmtId="0" fontId="49" fillId="0" borderId="1" xfId="0" applyFont="1" applyBorder="1"/>
    <xf numFmtId="0" fontId="0" fillId="0" borderId="9" xfId="0" applyBorder="1"/>
    <xf numFmtId="0" fontId="20" fillId="0" borderId="9" xfId="0" applyFont="1" applyBorder="1" applyAlignment="1">
      <alignment horizontal="center" vertical="center"/>
    </xf>
    <xf numFmtId="164" fontId="46" fillId="8" borderId="46" xfId="0" applyNumberFormat="1" applyFont="1" applyFill="1" applyBorder="1" applyAlignment="1">
      <alignment horizontal="center" vertical="center"/>
    </xf>
    <xf numFmtId="164" fontId="22" fillId="8" borderId="46" xfId="0" applyNumberFormat="1" applyFont="1" applyFill="1" applyBorder="1" applyAlignment="1">
      <alignment horizontal="center" vertical="center"/>
    </xf>
    <xf numFmtId="164" fontId="35" fillId="8" borderId="46" xfId="0" applyNumberFormat="1" applyFont="1" applyFill="1" applyBorder="1" applyAlignment="1">
      <alignment horizontal="center" vertical="center"/>
    </xf>
    <xf numFmtId="164" fontId="50" fillId="8" borderId="46" xfId="0" applyNumberFormat="1" applyFont="1" applyFill="1" applyBorder="1" applyAlignment="1">
      <alignment horizontal="center" vertical="center"/>
    </xf>
    <xf numFmtId="164" fontId="50" fillId="8" borderId="48" xfId="0" applyNumberFormat="1" applyFont="1" applyFill="1" applyBorder="1" applyAlignment="1">
      <alignment horizontal="center" vertical="center"/>
    </xf>
    <xf numFmtId="0" fontId="45" fillId="0" borderId="50" xfId="0" applyFont="1" applyBorder="1" applyAlignment="1">
      <alignment horizontal="left" wrapText="1" readingOrder="1"/>
    </xf>
    <xf numFmtId="0" fontId="45" fillId="0" borderId="28" xfId="0" applyFont="1" applyBorder="1" applyAlignment="1">
      <alignment horizontal="left" wrapText="1" readingOrder="1"/>
    </xf>
    <xf numFmtId="164" fontId="20" fillId="0" borderId="9" xfId="0" applyNumberFormat="1" applyFont="1" applyBorder="1" applyAlignment="1">
      <alignment horizontal="center" vertical="center"/>
    </xf>
    <xf numFmtId="0" fontId="27" fillId="9" borderId="9" xfId="0" applyFont="1" applyFill="1" applyBorder="1" applyAlignment="1">
      <alignment horizontal="center" vertical="center"/>
    </xf>
    <xf numFmtId="164" fontId="20" fillId="0" borderId="52" xfId="0" applyNumberFormat="1" applyFont="1" applyBorder="1" applyAlignment="1">
      <alignment horizontal="center" vertical="center"/>
    </xf>
    <xf numFmtId="164" fontId="20" fillId="0" borderId="45" xfId="0" applyNumberFormat="1" applyFont="1" applyBorder="1" applyAlignment="1">
      <alignment horizontal="center" vertical="center"/>
    </xf>
    <xf numFmtId="164" fontId="46" fillId="10" borderId="46" xfId="0" applyNumberFormat="1" applyFont="1" applyFill="1" applyBorder="1" applyAlignment="1">
      <alignment horizontal="center" vertical="center"/>
    </xf>
    <xf numFmtId="164" fontId="47" fillId="10" borderId="46" xfId="0" applyNumberFormat="1" applyFont="1" applyFill="1" applyBorder="1" applyAlignment="1">
      <alignment horizontal="center" vertical="center"/>
    </xf>
    <xf numFmtId="164" fontId="35" fillId="10" borderId="46" xfId="0" applyNumberFormat="1" applyFont="1" applyFill="1" applyBorder="1" applyAlignment="1">
      <alignment horizontal="center" vertical="center"/>
    </xf>
    <xf numFmtId="164" fontId="20" fillId="0" borderId="47" xfId="0" applyNumberFormat="1" applyFont="1" applyBorder="1" applyAlignment="1">
      <alignment horizontal="center" vertical="center"/>
    </xf>
    <xf numFmtId="164" fontId="46" fillId="10" borderId="48" xfId="0" applyNumberFormat="1" applyFont="1" applyFill="1" applyBorder="1" applyAlignment="1">
      <alignment horizontal="center" vertical="center"/>
    </xf>
    <xf numFmtId="164" fontId="46" fillId="10" borderId="4" xfId="0" applyNumberFormat="1" applyFont="1" applyFill="1" applyBorder="1" applyAlignment="1">
      <alignment horizontal="center" vertical="center"/>
    </xf>
    <xf numFmtId="164" fontId="47" fillId="10" borderId="4" xfId="0" applyNumberFormat="1" applyFont="1" applyFill="1" applyBorder="1" applyAlignment="1">
      <alignment horizontal="center" vertical="center"/>
    </xf>
    <xf numFmtId="164" fontId="46" fillId="10" borderId="35" xfId="0" applyNumberFormat="1" applyFont="1" applyFill="1" applyBorder="1" applyAlignment="1">
      <alignment horizontal="center" vertical="center"/>
    </xf>
    <xf numFmtId="164" fontId="35" fillId="10" borderId="48" xfId="0" applyNumberFormat="1" applyFont="1" applyFill="1" applyBorder="1" applyAlignment="1">
      <alignment horizontal="center" vertical="center"/>
    </xf>
    <xf numFmtId="164" fontId="22" fillId="10" borderId="4" xfId="0" applyNumberFormat="1" applyFont="1" applyFill="1" applyBorder="1" applyAlignment="1">
      <alignment horizontal="center" vertical="center"/>
    </xf>
    <xf numFmtId="0" fontId="26" fillId="9" borderId="4" xfId="0" applyFont="1" applyFill="1" applyBorder="1" applyAlignment="1">
      <alignment horizontal="center" vertical="center"/>
    </xf>
    <xf numFmtId="164" fontId="35" fillId="10" borderId="4" xfId="0" applyNumberFormat="1" applyFont="1" applyFill="1" applyBorder="1" applyAlignment="1">
      <alignment horizontal="center" vertical="center"/>
    </xf>
    <xf numFmtId="164" fontId="20" fillId="8" borderId="45" xfId="0" applyNumberFormat="1" applyFont="1" applyFill="1" applyBorder="1" applyAlignment="1">
      <alignment horizontal="center" vertical="center"/>
    </xf>
    <xf numFmtId="164" fontId="20" fillId="8" borderId="47" xfId="0" applyNumberFormat="1" applyFont="1" applyFill="1" applyBorder="1" applyAlignment="1">
      <alignment horizontal="center" vertical="center"/>
    </xf>
    <xf numFmtId="0" fontId="44" fillId="5" borderId="21" xfId="0" applyFont="1" applyFill="1" applyBorder="1" applyAlignment="1">
      <alignment horizontal="center" wrapText="1" readingOrder="1"/>
    </xf>
    <xf numFmtId="164" fontId="20" fillId="5" borderId="54" xfId="0" applyNumberFormat="1" applyFont="1" applyFill="1" applyBorder="1" applyAlignment="1">
      <alignment horizontal="center" vertical="center"/>
    </xf>
    <xf numFmtId="164" fontId="46" fillId="5" borderId="55" xfId="0" applyNumberFormat="1" applyFont="1" applyFill="1" applyBorder="1" applyAlignment="1">
      <alignment horizontal="center" vertical="center"/>
    </xf>
    <xf numFmtId="164" fontId="20" fillId="5" borderId="56" xfId="0" applyNumberFormat="1" applyFont="1" applyFill="1" applyBorder="1" applyAlignment="1">
      <alignment horizontal="center" vertical="center"/>
    </xf>
    <xf numFmtId="164" fontId="46" fillId="5" borderId="33" xfId="0" applyNumberFormat="1" applyFont="1" applyFill="1" applyBorder="1" applyAlignment="1">
      <alignment horizontal="center" vertical="center"/>
    </xf>
    <xf numFmtId="164" fontId="35" fillId="5" borderId="55" xfId="0" applyNumberFormat="1" applyFont="1" applyFill="1" applyBorder="1" applyAlignment="1">
      <alignment horizontal="center" vertical="center"/>
    </xf>
    <xf numFmtId="0" fontId="44" fillId="17" borderId="57" xfId="0" applyFont="1" applyFill="1" applyBorder="1" applyAlignment="1">
      <alignment horizontal="center" vertical="center" wrapText="1" readingOrder="1"/>
    </xf>
    <xf numFmtId="164" fontId="21" fillId="17" borderId="58" xfId="0" applyNumberFormat="1" applyFont="1" applyFill="1" applyBorder="1" applyAlignment="1">
      <alignment horizontal="center" vertical="center"/>
    </xf>
    <xf numFmtId="164" fontId="46" fillId="17" borderId="59" xfId="0" applyNumberFormat="1" applyFont="1" applyFill="1" applyBorder="1" applyAlignment="1">
      <alignment horizontal="center" vertical="center"/>
    </xf>
    <xf numFmtId="164" fontId="20" fillId="17" borderId="60" xfId="0" applyNumberFormat="1" applyFont="1" applyFill="1" applyBorder="1" applyAlignment="1">
      <alignment horizontal="center" vertical="center"/>
    </xf>
    <xf numFmtId="164" fontId="46" fillId="17" borderId="32" xfId="0" applyNumberFormat="1" applyFont="1" applyFill="1" applyBorder="1" applyAlignment="1">
      <alignment horizontal="center" vertical="center"/>
    </xf>
    <xf numFmtId="164" fontId="20" fillId="17" borderId="58" xfId="0" applyNumberFormat="1" applyFont="1" applyFill="1" applyBorder="1" applyAlignment="1">
      <alignment horizontal="center" vertical="center"/>
    </xf>
    <xf numFmtId="164" fontId="35" fillId="17" borderId="59" xfId="0" applyNumberFormat="1" applyFont="1" applyFill="1" applyBorder="1" applyAlignment="1">
      <alignment horizontal="center" vertical="center"/>
    </xf>
    <xf numFmtId="0" fontId="45" fillId="0" borderId="57" xfId="0" applyFont="1" applyBorder="1" applyAlignment="1">
      <alignment horizontal="left" wrapText="1" readingOrder="1"/>
    </xf>
    <xf numFmtId="164" fontId="20" fillId="0" borderId="58" xfId="0" applyNumberFormat="1" applyFont="1" applyBorder="1" applyAlignment="1">
      <alignment horizontal="center" vertical="center"/>
    </xf>
    <xf numFmtId="164" fontId="35" fillId="10" borderId="59" xfId="0" applyNumberFormat="1" applyFont="1" applyFill="1" applyBorder="1" applyAlignment="1">
      <alignment horizontal="center" vertical="center"/>
    </xf>
    <xf numFmtId="0" fontId="27" fillId="9" borderId="60" xfId="0" applyFont="1" applyFill="1" applyBorder="1" applyAlignment="1">
      <alignment horizontal="center" vertical="center"/>
    </xf>
    <xf numFmtId="0" fontId="27" fillId="9" borderId="32" xfId="0" applyFont="1" applyFill="1" applyBorder="1" applyAlignment="1">
      <alignment horizontal="center" vertical="center"/>
    </xf>
    <xf numFmtId="0" fontId="27" fillId="9" borderId="58" xfId="0" applyFont="1" applyFill="1" applyBorder="1" applyAlignment="1">
      <alignment horizontal="center" vertical="center"/>
    </xf>
    <xf numFmtId="0" fontId="27" fillId="9" borderId="59" xfId="0" applyFont="1" applyFill="1" applyBorder="1" applyAlignment="1">
      <alignment horizontal="center" vertical="center"/>
    </xf>
    <xf numFmtId="0" fontId="26" fillId="9" borderId="32" xfId="0" applyFont="1" applyFill="1" applyBorder="1" applyAlignment="1">
      <alignment horizontal="center" vertical="center"/>
    </xf>
    <xf numFmtId="0" fontId="26" fillId="9" borderId="59" xfId="0" applyFont="1" applyFill="1" applyBorder="1" applyAlignment="1">
      <alignment horizontal="center" vertical="center"/>
    </xf>
    <xf numFmtId="164" fontId="47" fillId="5" borderId="55" xfId="0" applyNumberFormat="1" applyFont="1" applyFill="1" applyBorder="1" applyAlignment="1">
      <alignment horizontal="center" vertical="center"/>
    </xf>
    <xf numFmtId="164" fontId="47" fillId="10" borderId="59" xfId="0" applyNumberFormat="1" applyFont="1" applyFill="1" applyBorder="1" applyAlignment="1">
      <alignment horizontal="center" vertical="center"/>
    </xf>
    <xf numFmtId="164" fontId="20" fillId="0" borderId="60" xfId="0" applyNumberFormat="1" applyFont="1" applyBorder="1" applyAlignment="1">
      <alignment horizontal="center" vertical="center"/>
    </xf>
    <xf numFmtId="164" fontId="47" fillId="10" borderId="32" xfId="0" applyNumberFormat="1" applyFont="1" applyFill="1" applyBorder="1" applyAlignment="1">
      <alignment horizontal="center" vertical="center"/>
    </xf>
    <xf numFmtId="164" fontId="46" fillId="10" borderId="32" xfId="0" applyNumberFormat="1" applyFont="1" applyFill="1" applyBorder="1" applyAlignment="1">
      <alignment horizontal="center" vertical="center"/>
    </xf>
    <xf numFmtId="164" fontId="20" fillId="8" borderId="58" xfId="0" applyNumberFormat="1" applyFont="1" applyFill="1" applyBorder="1" applyAlignment="1">
      <alignment horizontal="center" vertical="center"/>
    </xf>
    <xf numFmtId="164" fontId="35" fillId="8" borderId="59" xfId="0" applyNumberFormat="1" applyFont="1" applyFill="1" applyBorder="1" applyAlignment="1">
      <alignment horizontal="center" vertical="center"/>
    </xf>
    <xf numFmtId="164" fontId="50" fillId="5" borderId="55" xfId="0" applyNumberFormat="1" applyFont="1" applyFill="1" applyBorder="1" applyAlignment="1">
      <alignment horizontal="center" vertical="center"/>
    </xf>
    <xf numFmtId="164" fontId="46" fillId="10" borderId="59" xfId="0" applyNumberFormat="1" applyFont="1" applyFill="1" applyBorder="1" applyAlignment="1">
      <alignment horizontal="center" vertical="center"/>
    </xf>
    <xf numFmtId="164" fontId="46" fillId="8" borderId="59" xfId="0" applyNumberFormat="1" applyFont="1" applyFill="1" applyBorder="1" applyAlignment="1">
      <alignment horizontal="center" vertical="center"/>
    </xf>
    <xf numFmtId="164" fontId="22" fillId="10" borderId="32" xfId="0" applyNumberFormat="1" applyFont="1" applyFill="1" applyBorder="1" applyAlignment="1">
      <alignment horizontal="center" vertical="center"/>
    </xf>
    <xf numFmtId="164" fontId="22" fillId="8" borderId="59" xfId="0" applyNumberFormat="1" applyFont="1" applyFill="1" applyBorder="1" applyAlignment="1">
      <alignment horizontal="center" vertical="center"/>
    </xf>
    <xf numFmtId="164" fontId="50" fillId="8" borderId="59" xfId="0" applyNumberFormat="1" applyFont="1" applyFill="1" applyBorder="1" applyAlignment="1">
      <alignment horizontal="center" vertical="center"/>
    </xf>
    <xf numFmtId="49" fontId="35" fillId="10" borderId="61" xfId="6" applyNumberFormat="1" applyFont="1" applyFill="1" applyBorder="1" applyAlignment="1" applyProtection="1">
      <alignment vertical="center" wrapText="1"/>
    </xf>
    <xf numFmtId="164" fontId="35" fillId="10" borderId="17" xfId="6" applyNumberFormat="1" applyFont="1" applyFill="1" applyBorder="1" applyAlignment="1">
      <alignment horizontal="center"/>
    </xf>
    <xf numFmtId="0" fontId="19" fillId="5" borderId="62" xfId="0" applyFont="1" applyFill="1" applyBorder="1" applyAlignment="1">
      <alignment horizontal="center" vertical="center" wrapText="1"/>
    </xf>
    <xf numFmtId="0" fontId="19" fillId="5" borderId="63" xfId="0" applyFont="1" applyFill="1" applyBorder="1" applyAlignment="1">
      <alignment horizontal="center" vertical="center" wrapText="1"/>
    </xf>
    <xf numFmtId="164" fontId="29" fillId="18" borderId="11" xfId="6" applyNumberFormat="1" applyFont="1" applyFill="1" applyBorder="1" applyAlignment="1">
      <alignment horizontal="center"/>
    </xf>
    <xf numFmtId="49" fontId="35" fillId="0" borderId="54" xfId="6" applyNumberFormat="1" applyFont="1" applyFill="1" applyBorder="1" applyAlignment="1" applyProtection="1">
      <alignment vertical="center" wrapText="1"/>
    </xf>
    <xf numFmtId="0" fontId="21" fillId="0" borderId="45" xfId="0" applyFont="1" applyBorder="1"/>
    <xf numFmtId="0" fontId="21" fillId="0" borderId="58" xfId="0" applyFont="1" applyBorder="1"/>
    <xf numFmtId="49" fontId="21" fillId="0" borderId="45" xfId="6" applyNumberFormat="1" applyFont="1" applyFill="1" applyBorder="1" applyAlignment="1" applyProtection="1">
      <alignment vertical="center" wrapText="1"/>
    </xf>
    <xf numFmtId="0" fontId="21" fillId="0" borderId="45" xfId="0" applyFont="1" applyBorder="1" applyAlignment="1">
      <alignment horizontal="left" wrapText="1" indent="2" readingOrder="1"/>
    </xf>
    <xf numFmtId="164" fontId="19" fillId="0" borderId="0" xfId="0" applyNumberFormat="1" applyFont="1" applyBorder="1" applyAlignment="1">
      <alignment horizontal="center"/>
    </xf>
    <xf numFmtId="49" fontId="21" fillId="0" borderId="58" xfId="6" applyNumberFormat="1" applyFont="1" applyFill="1" applyBorder="1" applyAlignment="1" applyProtection="1">
      <alignment vertical="center" wrapText="1"/>
    </xf>
    <xf numFmtId="0" fontId="21" fillId="8" borderId="45" xfId="0" applyFont="1" applyFill="1" applyBorder="1"/>
    <xf numFmtId="0" fontId="21" fillId="8" borderId="58" xfId="0" applyFont="1" applyFill="1" applyBorder="1"/>
    <xf numFmtId="49" fontId="21" fillId="8" borderId="45" xfId="0" applyNumberFormat="1" applyFont="1" applyFill="1" applyBorder="1"/>
    <xf numFmtId="49" fontId="21" fillId="8" borderId="58" xfId="0" applyNumberFormat="1" applyFont="1" applyFill="1" applyBorder="1"/>
    <xf numFmtId="49" fontId="21" fillId="0" borderId="45" xfId="0" applyNumberFormat="1" applyFont="1" applyBorder="1"/>
    <xf numFmtId="49" fontId="21" fillId="0" borderId="58" xfId="0" applyNumberFormat="1" applyFont="1" applyBorder="1"/>
    <xf numFmtId="0" fontId="21" fillId="0" borderId="45" xfId="0" applyFont="1" applyBorder="1" applyAlignment="1">
      <alignment horizontal="left" wrapText="1" indent="1"/>
    </xf>
    <xf numFmtId="49" fontId="20" fillId="0" borderId="58" xfId="0" applyNumberFormat="1" applyFont="1" applyBorder="1"/>
    <xf numFmtId="49" fontId="21" fillId="0" borderId="47" xfId="0" applyNumberFormat="1" applyFont="1" applyBorder="1"/>
    <xf numFmtId="0" fontId="21" fillId="16" borderId="1" xfId="0" applyFont="1" applyFill="1" applyBorder="1" applyAlignment="1">
      <alignment horizontal="center"/>
    </xf>
    <xf numFmtId="0" fontId="21" fillId="11" borderId="1" xfId="0" applyFont="1" applyFill="1" applyBorder="1" applyAlignment="1">
      <alignment horizontal="center" vertical="center"/>
    </xf>
    <xf numFmtId="164" fontId="19" fillId="18" borderId="1" xfId="0" applyNumberFormat="1" applyFont="1" applyFill="1" applyBorder="1" applyAlignment="1">
      <alignment horizontal="center"/>
    </xf>
    <xf numFmtId="0" fontId="21" fillId="11" borderId="11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/>
    </xf>
    <xf numFmtId="0" fontId="21" fillId="16" borderId="11" xfId="0" applyFont="1" applyFill="1" applyBorder="1" applyAlignment="1">
      <alignment horizontal="center"/>
    </xf>
    <xf numFmtId="0" fontId="21" fillId="11" borderId="13" xfId="0" applyFont="1" applyFill="1" applyBorder="1" applyAlignment="1">
      <alignment horizontal="center" vertical="center"/>
    </xf>
    <xf numFmtId="164" fontId="55" fillId="8" borderId="11" xfId="6" applyNumberFormat="1" applyFont="1" applyFill="1" applyBorder="1" applyAlignment="1">
      <alignment horizontal="center"/>
    </xf>
    <xf numFmtId="164" fontId="56" fillId="8" borderId="11" xfId="6" applyNumberFormat="1" applyFont="1" applyFill="1" applyBorder="1" applyAlignment="1">
      <alignment horizontal="center"/>
    </xf>
    <xf numFmtId="164" fontId="38" fillId="10" borderId="17" xfId="6" applyNumberFormat="1" applyFont="1" applyFill="1" applyBorder="1" applyAlignment="1">
      <alignment horizontal="center"/>
    </xf>
    <xf numFmtId="0" fontId="0" fillId="10" borderId="15" xfId="0" applyFill="1" applyBorder="1" applyAlignment="1"/>
    <xf numFmtId="164" fontId="57" fillId="10" borderId="17" xfId="6" applyNumberFormat="1" applyFont="1" applyFill="1" applyBorder="1" applyAlignment="1">
      <alignment horizontal="center"/>
    </xf>
    <xf numFmtId="164" fontId="56" fillId="0" borderId="11" xfId="0" applyNumberFormat="1" applyFont="1" applyBorder="1" applyAlignment="1">
      <alignment horizontal="center" vertical="center"/>
    </xf>
    <xf numFmtId="0" fontId="58" fillId="9" borderId="1" xfId="0" applyFont="1" applyFill="1" applyBorder="1"/>
    <xf numFmtId="0" fontId="21" fillId="18" borderId="4" xfId="0" applyFont="1" applyFill="1" applyBorder="1" applyAlignment="1">
      <alignment horizontal="center" vertical="center"/>
    </xf>
    <xf numFmtId="0" fontId="21" fillId="18" borderId="9" xfId="0" applyFont="1" applyFill="1" applyBorder="1" applyAlignment="1">
      <alignment horizontal="center" vertical="center"/>
    </xf>
    <xf numFmtId="0" fontId="21" fillId="9" borderId="4" xfId="0" applyFont="1" applyFill="1" applyBorder="1" applyAlignment="1">
      <alignment horizontal="center"/>
    </xf>
    <xf numFmtId="0" fontId="21" fillId="9" borderId="9" xfId="0" applyFont="1" applyFill="1" applyBorder="1" applyAlignment="1">
      <alignment horizontal="center"/>
    </xf>
    <xf numFmtId="0" fontId="51" fillId="5" borderId="19" xfId="0" applyFont="1" applyFill="1" applyBorder="1" applyAlignment="1">
      <alignment horizontal="center" vertical="center" wrapText="1"/>
    </xf>
    <xf numFmtId="0" fontId="51" fillId="5" borderId="48" xfId="0" applyFont="1" applyFill="1" applyBorder="1" applyAlignment="1">
      <alignment horizontal="center" vertical="center" wrapText="1"/>
    </xf>
    <xf numFmtId="0" fontId="21" fillId="5" borderId="27" xfId="0" applyFont="1" applyFill="1" applyBorder="1" applyAlignment="1">
      <alignment horizontal="center"/>
    </xf>
    <xf numFmtId="0" fontId="21" fillId="5" borderId="47" xfId="0" applyFont="1" applyFill="1" applyBorder="1" applyAlignment="1">
      <alignment horizontal="center"/>
    </xf>
    <xf numFmtId="0" fontId="19" fillId="5" borderId="43" xfId="0" applyFont="1" applyFill="1" applyBorder="1" applyAlignment="1">
      <alignment horizontal="center" vertical="center" wrapText="1"/>
    </xf>
    <xf numFmtId="0" fontId="19" fillId="5" borderId="19" xfId="0" applyFont="1" applyFill="1" applyBorder="1" applyAlignment="1">
      <alignment horizontal="center" vertical="center" wrapText="1"/>
    </xf>
    <xf numFmtId="0" fontId="0" fillId="0" borderId="0" xfId="0"/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5" xfId="0" applyFont="1" applyBorder="1" applyAlignment="1">
      <alignment horizontal="center" wrapText="1"/>
    </xf>
    <xf numFmtId="0" fontId="19" fillId="0" borderId="6" xfId="0" applyFont="1" applyBorder="1" applyAlignment="1">
      <alignment horizontal="center" wrapText="1"/>
    </xf>
    <xf numFmtId="0" fontId="19" fillId="0" borderId="7" xfId="0" applyFont="1" applyBorder="1" applyAlignment="1">
      <alignment horizontal="center" wrapText="1"/>
    </xf>
    <xf numFmtId="0" fontId="48" fillId="0" borderId="24" xfId="0" applyFont="1" applyBorder="1" applyAlignment="1">
      <alignment horizontal="center" vertical="center" wrapText="1"/>
    </xf>
    <xf numFmtId="0" fontId="48" fillId="0" borderId="37" xfId="0" applyFont="1" applyBorder="1" applyAlignment="1">
      <alignment horizontal="center" vertical="center" wrapText="1"/>
    </xf>
    <xf numFmtId="0" fontId="48" fillId="0" borderId="38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wrapText="1"/>
    </xf>
    <xf numFmtId="0" fontId="20" fillId="0" borderId="0" xfId="0" applyFont="1" applyBorder="1" applyAlignment="1">
      <alignment horizontal="center" wrapText="1"/>
    </xf>
    <xf numFmtId="0" fontId="20" fillId="0" borderId="42" xfId="0" applyFont="1" applyBorder="1" applyAlignment="1">
      <alignment horizontal="center" wrapText="1"/>
    </xf>
    <xf numFmtId="0" fontId="20" fillId="0" borderId="25" xfId="0" applyFont="1" applyBorder="1" applyAlignment="1">
      <alignment horizontal="center" wrapText="1"/>
    </xf>
    <xf numFmtId="0" fontId="20" fillId="0" borderId="39" xfId="0" applyFont="1" applyBorder="1" applyAlignment="1">
      <alignment horizontal="center" wrapText="1"/>
    </xf>
    <xf numFmtId="0" fontId="20" fillId="0" borderId="40" xfId="0" applyFont="1" applyBorder="1" applyAlignment="1">
      <alignment horizontal="center" wrapText="1"/>
    </xf>
    <xf numFmtId="0" fontId="48" fillId="0" borderId="5" xfId="0" applyFont="1" applyBorder="1" applyAlignment="1">
      <alignment horizontal="center" wrapText="1"/>
    </xf>
    <xf numFmtId="0" fontId="48" fillId="0" borderId="6" xfId="0" applyFont="1" applyBorder="1" applyAlignment="1">
      <alignment horizontal="center" wrapText="1"/>
    </xf>
    <xf numFmtId="0" fontId="48" fillId="0" borderId="7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12" fillId="0" borderId="4" xfId="6" applyNumberFormat="1" applyFont="1" applyFill="1" applyBorder="1" applyAlignment="1" applyProtection="1">
      <alignment horizontal="center" vertical="center" wrapText="1"/>
    </xf>
    <xf numFmtId="0" fontId="3" fillId="0" borderId="8" xfId="6" applyNumberFormat="1" applyFont="1" applyFill="1" applyBorder="1" applyAlignment="1" applyProtection="1">
      <alignment horizontal="center" vertical="center" wrapText="1"/>
    </xf>
    <xf numFmtId="0" fontId="3" fillId="0" borderId="9" xfId="6" applyNumberFormat="1" applyFont="1" applyFill="1" applyBorder="1" applyAlignment="1" applyProtection="1">
      <alignment horizontal="center" vertical="center" wrapText="1"/>
    </xf>
    <xf numFmtId="0" fontId="2" fillId="0" borderId="1" xfId="6" applyNumberFormat="1" applyFont="1" applyFill="1" applyBorder="1" applyAlignment="1" applyProtection="1">
      <alignment horizontal="center" vertical="center" wrapText="1"/>
    </xf>
    <xf numFmtId="0" fontId="13" fillId="0" borderId="1" xfId="6" applyNumberFormat="1" applyFont="1" applyFill="1" applyBorder="1" applyAlignment="1" applyProtection="1">
      <alignment horizontal="center" vertical="center" wrapText="1"/>
    </xf>
    <xf numFmtId="0" fontId="3" fillId="0" borderId="1" xfId="6" applyNumberFormat="1" applyFont="1" applyFill="1" applyBorder="1" applyAlignment="1" applyProtection="1">
      <alignment horizontal="center" vertical="center" wrapText="1"/>
    </xf>
    <xf numFmtId="2" fontId="9" fillId="0" borderId="0" xfId="0" applyNumberFormat="1" applyFont="1" applyAlignment="1">
      <alignment horizontal="center" vertical="center" wrapText="1" shrinkToFit="1" readingOrder="1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0" fillId="4" borderId="5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10" fillId="2" borderId="5" xfId="7" applyBorder="1" applyAlignment="1">
      <alignment horizontal="center"/>
    </xf>
    <xf numFmtId="0" fontId="10" fillId="2" borderId="6" xfId="7" applyBorder="1" applyAlignment="1">
      <alignment horizontal="center"/>
    </xf>
    <xf numFmtId="0" fontId="10" fillId="2" borderId="7" xfId="7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9" fillId="15" borderId="27" xfId="0" applyFont="1" applyFill="1" applyBorder="1" applyAlignment="1">
      <alignment horizontal="center" vertical="center" wrapText="1"/>
    </xf>
    <xf numFmtId="0" fontId="19" fillId="15" borderId="45" xfId="0" applyFont="1" applyFill="1" applyBorder="1" applyAlignment="1">
      <alignment horizontal="center" vertical="center" wrapText="1"/>
    </xf>
    <xf numFmtId="0" fontId="19" fillId="15" borderId="44" xfId="0" applyFont="1" applyFill="1" applyBorder="1" applyAlignment="1">
      <alignment horizontal="center" vertical="center" wrapText="1"/>
    </xf>
    <xf numFmtId="0" fontId="19" fillId="15" borderId="46" xfId="0" applyFont="1" applyFill="1" applyBorder="1" applyAlignment="1">
      <alignment horizontal="center" vertical="center" wrapText="1"/>
    </xf>
    <xf numFmtId="0" fontId="20" fillId="15" borderId="49" xfId="0" applyFont="1" applyFill="1" applyBorder="1" applyAlignment="1">
      <alignment horizontal="center" vertical="center" wrapText="1"/>
    </xf>
    <xf numFmtId="0" fontId="20" fillId="15" borderId="50" xfId="0" applyFont="1" applyFill="1" applyBorder="1" applyAlignment="1">
      <alignment horizontal="center" vertical="center" wrapText="1"/>
    </xf>
    <xf numFmtId="0" fontId="19" fillId="21" borderId="51" xfId="0" applyFont="1" applyFill="1" applyBorder="1" applyAlignment="1">
      <alignment horizontal="center" vertical="center" wrapText="1"/>
    </xf>
    <xf numFmtId="0" fontId="19" fillId="21" borderId="9" xfId="0" applyFont="1" applyFill="1" applyBorder="1" applyAlignment="1">
      <alignment horizontal="center" vertical="center" wrapText="1"/>
    </xf>
    <xf numFmtId="0" fontId="19" fillId="21" borderId="53" xfId="0" applyFont="1" applyFill="1" applyBorder="1" applyAlignment="1">
      <alignment horizontal="center" vertical="center" wrapText="1"/>
    </xf>
    <xf numFmtId="0" fontId="19" fillId="21" borderId="4" xfId="0" applyFont="1" applyFill="1" applyBorder="1" applyAlignment="1">
      <alignment horizontal="center" vertical="center" wrapText="1"/>
    </xf>
    <xf numFmtId="0" fontId="19" fillId="19" borderId="27" xfId="0" applyFont="1" applyFill="1" applyBorder="1" applyAlignment="1">
      <alignment horizontal="center" vertical="center" wrapText="1"/>
    </xf>
    <xf numFmtId="0" fontId="19" fillId="19" borderId="45" xfId="0" applyFont="1" applyFill="1" applyBorder="1" applyAlignment="1">
      <alignment horizontal="center" vertical="center" wrapText="1"/>
    </xf>
    <xf numFmtId="0" fontId="19" fillId="19" borderId="44" xfId="0" applyFont="1" applyFill="1" applyBorder="1" applyAlignment="1">
      <alignment horizontal="center" vertical="center" wrapText="1"/>
    </xf>
    <xf numFmtId="0" fontId="19" fillId="19" borderId="46" xfId="0" applyFont="1" applyFill="1" applyBorder="1" applyAlignment="1">
      <alignment horizontal="center" vertical="center" wrapText="1"/>
    </xf>
    <xf numFmtId="0" fontId="19" fillId="20" borderId="51" xfId="0" applyFont="1" applyFill="1" applyBorder="1" applyAlignment="1">
      <alignment horizontal="center" vertical="center" wrapText="1"/>
    </xf>
    <xf numFmtId="0" fontId="19" fillId="20" borderId="9" xfId="0" applyFont="1" applyFill="1" applyBorder="1" applyAlignment="1">
      <alignment horizontal="center" vertical="center" wrapText="1"/>
    </xf>
    <xf numFmtId="0" fontId="19" fillId="20" borderId="53" xfId="0" applyFont="1" applyFill="1" applyBorder="1" applyAlignment="1">
      <alignment horizontal="center" vertical="center" wrapText="1"/>
    </xf>
    <xf numFmtId="0" fontId="19" fillId="20" borderId="4" xfId="0" applyFont="1" applyFill="1" applyBorder="1" applyAlignment="1">
      <alignment horizontal="center" vertical="center" wrapText="1"/>
    </xf>
    <xf numFmtId="0" fontId="19" fillId="22" borderId="27" xfId="0" applyFont="1" applyFill="1" applyBorder="1" applyAlignment="1">
      <alignment horizontal="center" vertical="center" wrapText="1"/>
    </xf>
    <xf numFmtId="0" fontId="19" fillId="22" borderId="45" xfId="0" applyFont="1" applyFill="1" applyBorder="1" applyAlignment="1">
      <alignment horizontal="center" vertical="center" wrapText="1"/>
    </xf>
    <xf numFmtId="0" fontId="19" fillId="22" borderId="44" xfId="0" applyFont="1" applyFill="1" applyBorder="1" applyAlignment="1">
      <alignment horizontal="center" vertical="center" wrapText="1"/>
    </xf>
    <xf numFmtId="0" fontId="19" fillId="22" borderId="46" xfId="0" applyFont="1" applyFill="1" applyBorder="1" applyAlignment="1">
      <alignment horizontal="center" vertical="center" wrapText="1"/>
    </xf>
    <xf numFmtId="0" fontId="42" fillId="13" borderId="4" xfId="0" applyFont="1" applyFill="1" applyBorder="1" applyAlignment="1">
      <alignment horizontal="center" vertical="top"/>
    </xf>
    <xf numFmtId="0" fontId="42" fillId="13" borderId="9" xfId="0" applyFont="1" applyFill="1" applyBorder="1" applyAlignment="1">
      <alignment horizontal="center" vertical="top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/>
    </xf>
    <xf numFmtId="0" fontId="48" fillId="0" borderId="24" xfId="0" applyFont="1" applyBorder="1" applyAlignment="1">
      <alignment horizontal="center" vertical="center"/>
    </xf>
    <xf numFmtId="0" fontId="48" fillId="0" borderId="37" xfId="0" applyFont="1" applyBorder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48" fillId="0" borderId="25" xfId="0" applyFont="1" applyBorder="1" applyAlignment="1">
      <alignment horizontal="center" vertical="center"/>
    </xf>
    <xf numFmtId="0" fontId="48" fillId="0" borderId="39" xfId="0" applyFont="1" applyBorder="1" applyAlignment="1">
      <alignment horizontal="center" vertical="center"/>
    </xf>
    <xf numFmtId="0" fontId="48" fillId="0" borderId="40" xfId="0" applyFont="1" applyBorder="1" applyAlignment="1">
      <alignment horizontal="center" vertical="center"/>
    </xf>
    <xf numFmtId="2" fontId="40" fillId="0" borderId="0" xfId="0" applyNumberFormat="1" applyFont="1" applyAlignment="1">
      <alignment horizontal="center" vertical="center" wrapText="1" shrinkToFit="1" readingOrder="1"/>
    </xf>
    <xf numFmtId="2" fontId="42" fillId="13" borderId="1" xfId="0" applyNumberFormat="1" applyFont="1" applyFill="1" applyBorder="1" applyAlignment="1">
      <alignment horizontal="left" wrapText="1" indent="1" shrinkToFit="1" readingOrder="1"/>
    </xf>
    <xf numFmtId="0" fontId="42" fillId="13" borderId="8" xfId="0" applyFont="1" applyFill="1" applyBorder="1" applyAlignment="1">
      <alignment horizontal="center" vertical="top"/>
    </xf>
    <xf numFmtId="0" fontId="42" fillId="13" borderId="12" xfId="0" applyFont="1" applyFill="1" applyBorder="1" applyAlignment="1">
      <alignment horizontal="center" vertical="top"/>
    </xf>
    <xf numFmtId="0" fontId="42" fillId="13" borderId="3" xfId="0" applyFont="1" applyFill="1" applyBorder="1" applyAlignment="1">
      <alignment horizontal="center" vertical="top"/>
    </xf>
    <xf numFmtId="0" fontId="42" fillId="13" borderId="11" xfId="0" applyFont="1" applyFill="1" applyBorder="1" applyAlignment="1">
      <alignment horizontal="center" vertical="top"/>
    </xf>
    <xf numFmtId="0" fontId="42" fillId="13" borderId="12" xfId="0" applyFont="1" applyFill="1" applyBorder="1" applyAlignment="1">
      <alignment horizontal="center" vertical="top" wrapText="1"/>
    </xf>
    <xf numFmtId="0" fontId="42" fillId="13" borderId="3" xfId="0" applyFont="1" applyFill="1" applyBorder="1" applyAlignment="1">
      <alignment horizontal="center" vertical="top" wrapText="1"/>
    </xf>
    <xf numFmtId="0" fontId="42" fillId="13" borderId="11" xfId="0" applyFont="1" applyFill="1" applyBorder="1" applyAlignment="1">
      <alignment horizontal="center" vertical="top" wrapText="1"/>
    </xf>
  </cellXfs>
  <cellStyles count="10">
    <cellStyle name="Comma" xfId="4"/>
    <cellStyle name="Comma [0]" xfId="5"/>
    <cellStyle name="Currency" xfId="2"/>
    <cellStyle name="Currency [0]" xfId="3"/>
    <cellStyle name="Normal" xfId="6"/>
    <cellStyle name="Percent" xfId="1"/>
    <cellStyle name="Нейтральный" xfId="8" builtinId="28"/>
    <cellStyle name="Обычный" xfId="0" builtinId="0"/>
    <cellStyle name="Плохой" xfId="9" builtinId="27"/>
    <cellStyle name="Хороший" xfId="7" builtinId="26"/>
  </cellStyles>
  <dxfs count="0"/>
  <tableStyles count="0" defaultTableStyle="TableStyleMedium2" defaultPivotStyle="PivotStyleLight16"/>
  <colors>
    <mruColors>
      <color rgb="FFC63A3A"/>
      <color rgb="FFF5573D"/>
      <color rgb="FFFBD5D5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1533797</xdr:colOff>
      <xdr:row>6</xdr:row>
      <xdr:rowOff>89394</xdr:rowOff>
    </xdr:from>
    <xdr:to>
      <xdr:col>30</xdr:col>
      <xdr:colOff>363682</xdr:colOff>
      <xdr:row>41</xdr:row>
      <xdr:rowOff>207818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67115" y="3050803"/>
          <a:ext cx="14520158" cy="7946242"/>
        </a:xfrm>
        <a:prstGeom prst="rect">
          <a:avLst/>
        </a:prstGeom>
      </xdr:spPr>
    </xdr:pic>
    <xdr:clientData/>
  </xdr:twoCellAnchor>
  <xdr:twoCellAnchor editAs="oneCell">
    <xdr:from>
      <xdr:col>9</xdr:col>
      <xdr:colOff>1612052</xdr:colOff>
      <xdr:row>6</xdr:row>
      <xdr:rowOff>147748</xdr:rowOff>
    </xdr:from>
    <xdr:to>
      <xdr:col>11</xdr:col>
      <xdr:colOff>463826</xdr:colOff>
      <xdr:row>13</xdr:row>
      <xdr:rowOff>149087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4617" y="3088074"/>
          <a:ext cx="2231080" cy="139281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20378</xdr:colOff>
      <xdr:row>104</xdr:row>
      <xdr:rowOff>76893</xdr:rowOff>
    </xdr:from>
    <xdr:to>
      <xdr:col>33</xdr:col>
      <xdr:colOff>346363</xdr:colOff>
      <xdr:row>146</xdr:row>
      <xdr:rowOff>69274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81605" y="26192711"/>
          <a:ext cx="16206758" cy="9326881"/>
        </a:xfrm>
        <a:prstGeom prst="rect">
          <a:avLst/>
        </a:prstGeom>
      </xdr:spPr>
    </xdr:pic>
    <xdr:clientData/>
  </xdr:twoCellAnchor>
  <xdr:twoCellAnchor editAs="oneCell">
    <xdr:from>
      <xdr:col>10</xdr:col>
      <xdr:colOff>132172</xdr:colOff>
      <xdr:row>104</xdr:row>
      <xdr:rowOff>156217</xdr:rowOff>
    </xdr:from>
    <xdr:to>
      <xdr:col>11</xdr:col>
      <xdr:colOff>884463</xdr:colOff>
      <xdr:row>113</xdr:row>
      <xdr:rowOff>40821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81029" y="25928146"/>
          <a:ext cx="2507614" cy="172156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92"/>
  <sheetViews>
    <sheetView tabSelected="1" topLeftCell="A123" zoomScale="85" zoomScaleNormal="85" workbookViewId="0">
      <selection activeCell="H203" sqref="H203"/>
    </sheetView>
  </sheetViews>
  <sheetFormatPr defaultRowHeight="12.75" x14ac:dyDescent="0.2"/>
  <cols>
    <col min="1" max="1" width="41.42578125" customWidth="1"/>
    <col min="2" max="2" width="21.140625" customWidth="1"/>
    <col min="3" max="3" width="20.5703125" customWidth="1"/>
    <col min="4" max="4" width="26.140625" customWidth="1"/>
    <col min="5" max="5" width="30.7109375" customWidth="1"/>
    <col min="6" max="6" width="29.7109375" customWidth="1"/>
    <col min="7" max="7" width="8" customWidth="1"/>
    <col min="8" max="8" width="22.5703125" customWidth="1"/>
    <col min="9" max="9" width="22.42578125" customWidth="1"/>
    <col min="10" max="10" width="24.28515625" customWidth="1"/>
    <col min="11" max="11" width="26.28515625" customWidth="1"/>
    <col min="12" max="12" width="21.140625" customWidth="1"/>
  </cols>
  <sheetData>
    <row r="1" spans="1:30" ht="35.25" customHeight="1" thickBot="1" x14ac:dyDescent="0.3">
      <c r="A1" s="291" t="s">
        <v>140</v>
      </c>
      <c r="B1" s="292"/>
      <c r="C1" s="292"/>
      <c r="D1" s="292"/>
      <c r="E1" s="292"/>
      <c r="F1" s="292"/>
      <c r="G1" s="292"/>
      <c r="H1" s="292"/>
      <c r="I1" s="75"/>
    </row>
    <row r="2" spans="1:30" ht="114.75" customHeight="1" thickBot="1" x14ac:dyDescent="0.25">
      <c r="A2" s="50"/>
      <c r="B2" s="51" t="s">
        <v>135</v>
      </c>
      <c r="C2" s="51" t="s">
        <v>131</v>
      </c>
      <c r="D2" s="101" t="s">
        <v>128</v>
      </c>
      <c r="E2" s="51" t="s">
        <v>136</v>
      </c>
      <c r="F2" s="51" t="s">
        <v>137</v>
      </c>
      <c r="G2" s="51" t="s">
        <v>138</v>
      </c>
      <c r="H2" s="130" t="s">
        <v>139</v>
      </c>
      <c r="I2" s="144" t="s">
        <v>149</v>
      </c>
      <c r="J2" s="129"/>
      <c r="K2" s="296" t="s">
        <v>225</v>
      </c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8"/>
    </row>
    <row r="3" spans="1:30" ht="17.25" customHeight="1" thickBot="1" x14ac:dyDescent="0.3">
      <c r="A3" s="60" t="s">
        <v>11</v>
      </c>
      <c r="B3" s="61">
        <v>75.089766606822252</v>
      </c>
      <c r="C3" s="62"/>
      <c r="D3" s="102">
        <v>75.089766606822252</v>
      </c>
      <c r="E3" s="100"/>
      <c r="F3" s="63"/>
      <c r="G3" s="100"/>
      <c r="H3" s="131"/>
      <c r="I3" s="141">
        <v>1</v>
      </c>
      <c r="J3" s="129"/>
      <c r="K3" s="299" t="s">
        <v>226</v>
      </c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1"/>
    </row>
    <row r="4" spans="1:30" ht="33" thickTop="1" thickBot="1" x14ac:dyDescent="0.3">
      <c r="A4" s="49" t="s">
        <v>13</v>
      </c>
      <c r="B4" s="52">
        <v>80.85585585585585</v>
      </c>
      <c r="C4" s="53">
        <v>80.85585585585585</v>
      </c>
      <c r="D4" s="44" t="s">
        <v>129</v>
      </c>
      <c r="E4" s="107"/>
      <c r="F4" s="87"/>
      <c r="G4" s="107"/>
      <c r="H4" s="132"/>
      <c r="I4" s="141">
        <v>2</v>
      </c>
      <c r="J4" s="129"/>
      <c r="K4" s="302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4"/>
    </row>
    <row r="5" spans="1:30" ht="15.75" x14ac:dyDescent="0.25">
      <c r="A5" s="43" t="s">
        <v>14</v>
      </c>
      <c r="B5" s="45">
        <v>59.090909090909093</v>
      </c>
      <c r="C5" s="46" t="s">
        <v>130</v>
      </c>
      <c r="D5" s="46" t="s">
        <v>130</v>
      </c>
      <c r="E5" s="103">
        <f t="shared" ref="E5:E13" si="0">B5/80.9*100</f>
        <v>73.041914821890103</v>
      </c>
      <c r="F5" s="104">
        <f t="shared" ref="F5:F13" si="1">(B5/75.1)*100</f>
        <v>78.682968163660576</v>
      </c>
      <c r="G5" s="89">
        <f t="shared" ref="G5:G13" si="2">E5-100</f>
        <v>-26.958085178109897</v>
      </c>
      <c r="H5" s="133">
        <f t="shared" ref="H5:H13" si="3">F5-100</f>
        <v>-21.317031836339424</v>
      </c>
      <c r="I5" s="141">
        <v>3</v>
      </c>
      <c r="J5" s="129"/>
      <c r="K5" s="145"/>
      <c r="L5" s="126"/>
    </row>
    <row r="6" spans="1:30" ht="15.75" x14ac:dyDescent="0.25">
      <c r="A6" s="43" t="s">
        <v>15</v>
      </c>
      <c r="B6" s="45">
        <v>81.25</v>
      </c>
      <c r="C6" s="44" t="s">
        <v>129</v>
      </c>
      <c r="D6" s="44" t="s">
        <v>129</v>
      </c>
      <c r="E6" s="103">
        <f t="shared" si="0"/>
        <v>100.43263288009886</v>
      </c>
      <c r="F6" s="104">
        <f t="shared" si="1"/>
        <v>108.18908122503331</v>
      </c>
      <c r="G6" s="89">
        <f t="shared" si="2"/>
        <v>0.4326328800988648</v>
      </c>
      <c r="H6" s="133">
        <f t="shared" si="3"/>
        <v>8.1890812250333056</v>
      </c>
      <c r="I6" s="141">
        <v>4</v>
      </c>
      <c r="J6" s="129"/>
      <c r="K6" s="126"/>
      <c r="L6" s="126"/>
    </row>
    <row r="7" spans="1:30" ht="15.75" x14ac:dyDescent="0.25">
      <c r="A7" s="43" t="s">
        <v>16</v>
      </c>
      <c r="B7" s="45">
        <v>76.19047619047619</v>
      </c>
      <c r="C7" s="46" t="s">
        <v>130</v>
      </c>
      <c r="D7" s="44" t="s">
        <v>129</v>
      </c>
      <c r="E7" s="103">
        <f t="shared" si="0"/>
        <v>94.178586143975508</v>
      </c>
      <c r="F7" s="104">
        <f t="shared" si="1"/>
        <v>101.45203221102024</v>
      </c>
      <c r="G7" s="89">
        <f t="shared" si="2"/>
        <v>-5.8214138560244919</v>
      </c>
      <c r="H7" s="133">
        <f t="shared" si="3"/>
        <v>1.4520322110202386</v>
      </c>
      <c r="I7" s="141">
        <v>5</v>
      </c>
      <c r="J7" s="129"/>
    </row>
    <row r="8" spans="1:30" ht="15.75" x14ac:dyDescent="0.25">
      <c r="A8" s="43" t="s">
        <v>17</v>
      </c>
      <c r="B8" s="45">
        <v>91.17647058823529</v>
      </c>
      <c r="C8" s="44" t="s">
        <v>129</v>
      </c>
      <c r="D8" s="44" t="s">
        <v>129</v>
      </c>
      <c r="E8" s="103">
        <f t="shared" si="0"/>
        <v>112.70268305097069</v>
      </c>
      <c r="F8" s="104">
        <f t="shared" si="1"/>
        <v>121.4067517819378</v>
      </c>
      <c r="G8" s="89">
        <f t="shared" si="2"/>
        <v>12.702683050970691</v>
      </c>
      <c r="H8" s="133">
        <f t="shared" si="3"/>
        <v>21.4067517819378</v>
      </c>
      <c r="I8" s="141">
        <v>6</v>
      </c>
      <c r="J8" s="129"/>
    </row>
    <row r="9" spans="1:30" ht="15.75" x14ac:dyDescent="0.25">
      <c r="A9" s="43" t="s">
        <v>18</v>
      </c>
      <c r="B9" s="45">
        <v>77.777777777777771</v>
      </c>
      <c r="C9" s="46" t="s">
        <v>130</v>
      </c>
      <c r="D9" s="44" t="s">
        <v>129</v>
      </c>
      <c r="E9" s="103">
        <f t="shared" si="0"/>
        <v>96.140640021974988</v>
      </c>
      <c r="F9" s="104">
        <f t="shared" si="1"/>
        <v>103.56561621541648</v>
      </c>
      <c r="G9" s="89">
        <f t="shared" si="2"/>
        <v>-3.8593599780250116</v>
      </c>
      <c r="H9" s="133">
        <f t="shared" si="3"/>
        <v>3.5656162154164832</v>
      </c>
      <c r="I9" s="141">
        <v>7</v>
      </c>
      <c r="Q9" s="173"/>
      <c r="R9" s="173"/>
      <c r="S9" s="173"/>
      <c r="T9" s="173"/>
      <c r="U9" s="173"/>
      <c r="V9" s="173"/>
    </row>
    <row r="10" spans="1:30" ht="15.75" x14ac:dyDescent="0.25">
      <c r="A10" s="43" t="s">
        <v>19</v>
      </c>
      <c r="B10" s="45">
        <v>92.307692307692307</v>
      </c>
      <c r="C10" s="44" t="s">
        <v>129</v>
      </c>
      <c r="D10" s="44" t="s">
        <v>129</v>
      </c>
      <c r="E10" s="103">
        <f t="shared" si="0"/>
        <v>114.10097936673955</v>
      </c>
      <c r="F10" s="104">
        <f t="shared" si="1"/>
        <v>122.9130390248899</v>
      </c>
      <c r="G10" s="89">
        <f t="shared" si="2"/>
        <v>14.100979366739551</v>
      </c>
      <c r="H10" s="133">
        <f t="shared" si="3"/>
        <v>22.913039024889898</v>
      </c>
      <c r="I10" s="141">
        <v>8</v>
      </c>
      <c r="Q10" s="173"/>
      <c r="R10" s="173"/>
      <c r="S10" s="290"/>
      <c r="T10" s="173"/>
      <c r="U10" s="173"/>
      <c r="V10" s="173"/>
    </row>
    <row r="11" spans="1:30" ht="15.75" x14ac:dyDescent="0.25">
      <c r="A11" s="43" t="s">
        <v>20</v>
      </c>
      <c r="B11" s="45">
        <v>79.310344827586206</v>
      </c>
      <c r="C11" s="46" t="s">
        <v>130</v>
      </c>
      <c r="D11" s="44" t="s">
        <v>129</v>
      </c>
      <c r="E11" s="103">
        <f t="shared" si="0"/>
        <v>98.035036869698644</v>
      </c>
      <c r="F11" s="104">
        <f t="shared" si="1"/>
        <v>105.60631801276459</v>
      </c>
      <c r="G11" s="89">
        <f t="shared" si="2"/>
        <v>-1.9649631303013564</v>
      </c>
      <c r="H11" s="133">
        <f t="shared" si="3"/>
        <v>5.6063180127645893</v>
      </c>
      <c r="I11" s="141">
        <v>9</v>
      </c>
      <c r="Q11" s="173"/>
      <c r="R11" s="173"/>
      <c r="S11" s="290"/>
      <c r="T11" s="173"/>
      <c r="U11" s="173"/>
      <c r="V11" s="173"/>
    </row>
    <row r="12" spans="1:30" ht="15.75" x14ac:dyDescent="0.25">
      <c r="A12" s="43" t="s">
        <v>21</v>
      </c>
      <c r="B12" s="45">
        <v>84.848484848484844</v>
      </c>
      <c r="C12" s="44" t="s">
        <v>129</v>
      </c>
      <c r="D12" s="44" t="s">
        <v>129</v>
      </c>
      <c r="E12" s="103">
        <f t="shared" si="0"/>
        <v>104.88069820579089</v>
      </c>
      <c r="F12" s="104">
        <f t="shared" si="1"/>
        <v>112.98067223499979</v>
      </c>
      <c r="G12" s="89">
        <f t="shared" si="2"/>
        <v>4.8806982057908925</v>
      </c>
      <c r="H12" s="133">
        <f t="shared" si="3"/>
        <v>12.980672234999787</v>
      </c>
      <c r="I12" s="141">
        <v>10</v>
      </c>
      <c r="Q12" s="173"/>
      <c r="R12" s="173"/>
      <c r="S12" s="173"/>
      <c r="T12" s="173"/>
      <c r="U12" s="173"/>
      <c r="V12" s="173"/>
    </row>
    <row r="13" spans="1:30" ht="15.75" x14ac:dyDescent="0.25">
      <c r="A13" s="43" t="s">
        <v>22</v>
      </c>
      <c r="B13" s="45">
        <v>90</v>
      </c>
      <c r="C13" s="44" t="s">
        <v>129</v>
      </c>
      <c r="D13" s="44" t="s">
        <v>129</v>
      </c>
      <c r="E13" s="103">
        <f t="shared" si="0"/>
        <v>111.24845488257107</v>
      </c>
      <c r="F13" s="104">
        <f t="shared" si="1"/>
        <v>119.84021304926766</v>
      </c>
      <c r="G13" s="89">
        <f t="shared" si="2"/>
        <v>11.248454882571068</v>
      </c>
      <c r="H13" s="133">
        <f t="shared" si="3"/>
        <v>19.84021304926766</v>
      </c>
      <c r="I13" s="141">
        <v>11</v>
      </c>
      <c r="Q13" s="173"/>
      <c r="R13" s="173"/>
      <c r="S13" s="173"/>
      <c r="T13" s="173"/>
      <c r="U13" s="173"/>
      <c r="V13" s="173"/>
    </row>
    <row r="14" spans="1:30" ht="15.75" x14ac:dyDescent="0.25">
      <c r="A14" s="43" t="s">
        <v>23</v>
      </c>
      <c r="B14" s="47">
        <v>0</v>
      </c>
      <c r="C14" s="77" t="s">
        <v>134</v>
      </c>
      <c r="D14" s="77" t="s">
        <v>134</v>
      </c>
      <c r="E14" s="86" t="s">
        <v>134</v>
      </c>
      <c r="F14" s="86" t="s">
        <v>134</v>
      </c>
      <c r="G14" s="86"/>
      <c r="H14" s="134"/>
      <c r="I14" s="141">
        <v>12</v>
      </c>
      <c r="Q14" s="173"/>
      <c r="R14" s="173"/>
      <c r="S14" s="173"/>
      <c r="T14" s="173"/>
      <c r="U14" s="173"/>
      <c r="V14" s="173"/>
    </row>
    <row r="15" spans="1:30" ht="15.75" x14ac:dyDescent="0.25">
      <c r="A15" s="43" t="s">
        <v>24</v>
      </c>
      <c r="B15" s="45">
        <v>88.888888888888886</v>
      </c>
      <c r="C15" s="76" t="s">
        <v>129</v>
      </c>
      <c r="D15" s="76" t="s">
        <v>129</v>
      </c>
      <c r="E15" s="103">
        <f t="shared" ref="E15:E21" si="4">B15/80.9*100</f>
        <v>109.87501716797141</v>
      </c>
      <c r="F15" s="104">
        <f t="shared" ref="F15:F21" si="5">(B15/75.1)*100</f>
        <v>118.36070424619027</v>
      </c>
      <c r="G15" s="89">
        <f t="shared" ref="G15:H21" si="6">E15-100</f>
        <v>9.8750171679714072</v>
      </c>
      <c r="H15" s="133">
        <f t="shared" si="6"/>
        <v>18.360704246190267</v>
      </c>
      <c r="I15" s="141">
        <v>13</v>
      </c>
      <c r="K15" s="290"/>
      <c r="L15" s="290"/>
      <c r="M15" s="290"/>
    </row>
    <row r="16" spans="1:30" ht="15.75" x14ac:dyDescent="0.25">
      <c r="A16" s="43" t="s">
        <v>25</v>
      </c>
      <c r="B16" s="45">
        <v>86.206896551724142</v>
      </c>
      <c r="C16" s="44" t="s">
        <v>129</v>
      </c>
      <c r="D16" s="44" t="s">
        <v>129</v>
      </c>
      <c r="E16" s="103">
        <f t="shared" si="4"/>
        <v>106.55982268445506</v>
      </c>
      <c r="F16" s="104">
        <f t="shared" si="5"/>
        <v>114.7894761008311</v>
      </c>
      <c r="G16" s="89">
        <f t="shared" si="6"/>
        <v>6.5598226844550567</v>
      </c>
      <c r="H16" s="133">
        <f t="shared" si="6"/>
        <v>14.789476100831095</v>
      </c>
      <c r="I16" s="141">
        <v>14</v>
      </c>
    </row>
    <row r="17" spans="1:9" ht="15.75" x14ac:dyDescent="0.25">
      <c r="A17" s="43" t="s">
        <v>26</v>
      </c>
      <c r="B17" s="45">
        <v>92.592592592592581</v>
      </c>
      <c r="C17" s="44" t="s">
        <v>129</v>
      </c>
      <c r="D17" s="44" t="s">
        <v>129</v>
      </c>
      <c r="E17" s="103">
        <f t="shared" si="4"/>
        <v>114.45314288330354</v>
      </c>
      <c r="F17" s="104">
        <f t="shared" si="5"/>
        <v>123.29240025644819</v>
      </c>
      <c r="G17" s="89">
        <f t="shared" si="6"/>
        <v>14.453142883303542</v>
      </c>
      <c r="H17" s="133">
        <f t="shared" si="6"/>
        <v>23.29240025644819</v>
      </c>
      <c r="I17" s="141">
        <v>15</v>
      </c>
    </row>
    <row r="18" spans="1:9" ht="15.75" x14ac:dyDescent="0.25">
      <c r="A18" s="43" t="s">
        <v>27</v>
      </c>
      <c r="B18" s="45">
        <v>76.666666666666671</v>
      </c>
      <c r="C18" s="46" t="s">
        <v>130</v>
      </c>
      <c r="D18" s="44" t="s">
        <v>129</v>
      </c>
      <c r="E18" s="103">
        <f t="shared" si="4"/>
        <v>94.767202307375371</v>
      </c>
      <c r="F18" s="104">
        <f t="shared" si="5"/>
        <v>102.08610741233912</v>
      </c>
      <c r="G18" s="89">
        <f t="shared" si="6"/>
        <v>-5.2327976926246293</v>
      </c>
      <c r="H18" s="133">
        <f t="shared" si="6"/>
        <v>2.0861074123391177</v>
      </c>
      <c r="I18" s="141">
        <v>16</v>
      </c>
    </row>
    <row r="19" spans="1:9" ht="15.75" x14ac:dyDescent="0.25">
      <c r="A19" s="43" t="s">
        <v>28</v>
      </c>
      <c r="B19" s="45">
        <v>64.285714285714292</v>
      </c>
      <c r="C19" s="46" t="s">
        <v>130</v>
      </c>
      <c r="D19" s="46" t="s">
        <v>130</v>
      </c>
      <c r="E19" s="103">
        <f t="shared" si="4"/>
        <v>79.463182058979342</v>
      </c>
      <c r="F19" s="104">
        <f t="shared" si="5"/>
        <v>85.600152178048333</v>
      </c>
      <c r="G19" s="89">
        <f t="shared" si="6"/>
        <v>-20.536817941020658</v>
      </c>
      <c r="H19" s="133">
        <f t="shared" si="6"/>
        <v>-14.399847821951667</v>
      </c>
      <c r="I19" s="141">
        <v>17</v>
      </c>
    </row>
    <row r="20" spans="1:9" ht="15.75" x14ac:dyDescent="0.25">
      <c r="A20" s="43" t="s">
        <v>29</v>
      </c>
      <c r="B20" s="45">
        <v>73.07692307692308</v>
      </c>
      <c r="C20" s="46" t="s">
        <v>130</v>
      </c>
      <c r="D20" s="46" t="s">
        <v>130</v>
      </c>
      <c r="E20" s="103">
        <f t="shared" si="4"/>
        <v>90.329941998668815</v>
      </c>
      <c r="F20" s="104">
        <f t="shared" si="5"/>
        <v>97.306155894704503</v>
      </c>
      <c r="G20" s="89">
        <f t="shared" si="6"/>
        <v>-9.670058001331185</v>
      </c>
      <c r="H20" s="133">
        <f t="shared" si="6"/>
        <v>-2.6938441052954971</v>
      </c>
      <c r="I20" s="141">
        <v>18</v>
      </c>
    </row>
    <row r="21" spans="1:9" ht="16.5" thickBot="1" x14ac:dyDescent="0.3">
      <c r="A21" s="59" t="s">
        <v>30</v>
      </c>
      <c r="B21" s="57">
        <v>84.21052631578948</v>
      </c>
      <c r="C21" s="58" t="s">
        <v>129</v>
      </c>
      <c r="D21" s="58" t="s">
        <v>129</v>
      </c>
      <c r="E21" s="105">
        <f t="shared" si="4"/>
        <v>104.09212152755187</v>
      </c>
      <c r="F21" s="127">
        <f t="shared" si="5"/>
        <v>112.13119349639081</v>
      </c>
      <c r="G21" s="91">
        <f t="shared" si="6"/>
        <v>4.0921215275518676</v>
      </c>
      <c r="H21" s="135">
        <f t="shared" si="6"/>
        <v>12.131193496390807</v>
      </c>
      <c r="I21" s="141">
        <v>19</v>
      </c>
    </row>
    <row r="22" spans="1:9" ht="32.25" thickTop="1" x14ac:dyDescent="0.25">
      <c r="A22" s="49" t="s">
        <v>31</v>
      </c>
      <c r="B22" s="55">
        <v>80.790960451977398</v>
      </c>
      <c r="C22" s="85">
        <v>80.790960451977398</v>
      </c>
      <c r="D22" s="81" t="s">
        <v>129</v>
      </c>
      <c r="E22" s="93"/>
      <c r="F22" s="93"/>
      <c r="G22" s="93"/>
      <c r="H22" s="136"/>
      <c r="I22" s="141">
        <v>20</v>
      </c>
    </row>
    <row r="23" spans="1:9" ht="15.75" x14ac:dyDescent="0.25">
      <c r="A23" s="42" t="s">
        <v>32</v>
      </c>
      <c r="B23" s="45">
        <v>88.888888888888886</v>
      </c>
      <c r="C23" s="44" t="s">
        <v>129</v>
      </c>
      <c r="D23" s="44" t="s">
        <v>129</v>
      </c>
      <c r="E23" s="104">
        <f t="shared" ref="E23:E28" si="7">B23/80.8*100</f>
        <v>110.01100110011002</v>
      </c>
      <c r="F23" s="104">
        <f t="shared" ref="F23:F28" si="8">(B23/75.1)*100</f>
        <v>118.36070424619027</v>
      </c>
      <c r="G23" s="90">
        <f t="shared" ref="G23:H28" si="9">E23-100</f>
        <v>10.011001100110022</v>
      </c>
      <c r="H23" s="133">
        <f t="shared" si="9"/>
        <v>18.360704246190267</v>
      </c>
      <c r="I23" s="141">
        <v>21</v>
      </c>
    </row>
    <row r="24" spans="1:9" ht="15.75" x14ac:dyDescent="0.25">
      <c r="A24" s="42" t="s">
        <v>33</v>
      </c>
      <c r="B24" s="45">
        <v>70</v>
      </c>
      <c r="C24" s="46" t="s">
        <v>130</v>
      </c>
      <c r="D24" s="46" t="s">
        <v>130</v>
      </c>
      <c r="E24" s="104">
        <f t="shared" si="7"/>
        <v>86.633663366336634</v>
      </c>
      <c r="F24" s="104">
        <f t="shared" si="8"/>
        <v>93.209054593874839</v>
      </c>
      <c r="G24" s="90">
        <f t="shared" si="9"/>
        <v>-13.366336633663366</v>
      </c>
      <c r="H24" s="133">
        <f t="shared" si="9"/>
        <v>-6.7909454061251608</v>
      </c>
      <c r="I24" s="141">
        <v>22</v>
      </c>
    </row>
    <row r="25" spans="1:9" ht="15.75" x14ac:dyDescent="0.25">
      <c r="A25" s="42" t="s">
        <v>133</v>
      </c>
      <c r="B25" s="45">
        <f>AVERAGE(B26:B27)</f>
        <v>61.53846153846154</v>
      </c>
      <c r="C25" s="46" t="s">
        <v>130</v>
      </c>
      <c r="D25" s="46" t="s">
        <v>130</v>
      </c>
      <c r="E25" s="104">
        <f t="shared" si="7"/>
        <v>76.161462300076167</v>
      </c>
      <c r="F25" s="104">
        <f t="shared" si="8"/>
        <v>81.942026016593275</v>
      </c>
      <c r="G25" s="90">
        <f t="shared" si="9"/>
        <v>-23.838537699923833</v>
      </c>
      <c r="H25" s="133">
        <f t="shared" si="9"/>
        <v>-18.057973983406725</v>
      </c>
      <c r="I25" s="141">
        <v>23</v>
      </c>
    </row>
    <row r="26" spans="1:9" ht="15.75" x14ac:dyDescent="0.25">
      <c r="A26" s="54" t="s">
        <v>95</v>
      </c>
      <c r="B26" s="45">
        <v>50</v>
      </c>
      <c r="C26" s="46" t="s">
        <v>130</v>
      </c>
      <c r="D26" s="46" t="s">
        <v>130</v>
      </c>
      <c r="E26" s="104">
        <f t="shared" si="7"/>
        <v>61.881188118811878</v>
      </c>
      <c r="F26" s="104">
        <f t="shared" si="8"/>
        <v>66.577896138482032</v>
      </c>
      <c r="G26" s="90">
        <f t="shared" si="9"/>
        <v>-38.118811881188122</v>
      </c>
      <c r="H26" s="133">
        <f t="shared" si="9"/>
        <v>-33.422103861517968</v>
      </c>
      <c r="I26" s="141">
        <v>24</v>
      </c>
    </row>
    <row r="27" spans="1:9" ht="30.75" x14ac:dyDescent="0.25">
      <c r="A27" s="54" t="s">
        <v>106</v>
      </c>
      <c r="B27" s="45">
        <v>73.07692307692308</v>
      </c>
      <c r="C27" s="46" t="s">
        <v>130</v>
      </c>
      <c r="D27" s="46" t="s">
        <v>130</v>
      </c>
      <c r="E27" s="104">
        <f t="shared" si="7"/>
        <v>90.441736481340456</v>
      </c>
      <c r="F27" s="104">
        <f t="shared" si="8"/>
        <v>97.306155894704503</v>
      </c>
      <c r="G27" s="90">
        <f t="shared" si="9"/>
        <v>-9.5582635186595439</v>
      </c>
      <c r="H27" s="133">
        <f t="shared" si="9"/>
        <v>-2.6938441052954971</v>
      </c>
      <c r="I27" s="141">
        <v>25</v>
      </c>
    </row>
    <row r="28" spans="1:9" ht="29.25" customHeight="1" x14ac:dyDescent="0.25">
      <c r="A28" s="42" t="s">
        <v>35</v>
      </c>
      <c r="B28" s="45">
        <v>92.857142857142847</v>
      </c>
      <c r="C28" s="44" t="s">
        <v>129</v>
      </c>
      <c r="D28" s="44" t="s">
        <v>129</v>
      </c>
      <c r="E28" s="104">
        <f t="shared" si="7"/>
        <v>114.92220650636492</v>
      </c>
      <c r="F28" s="104">
        <f t="shared" si="8"/>
        <v>123.64466425718091</v>
      </c>
      <c r="G28" s="90">
        <f t="shared" si="9"/>
        <v>14.922206506364915</v>
      </c>
      <c r="H28" s="133">
        <f t="shared" si="9"/>
        <v>23.644664257180906</v>
      </c>
      <c r="I28" s="141">
        <v>26</v>
      </c>
    </row>
    <row r="29" spans="1:9" ht="15.75" x14ac:dyDescent="0.25">
      <c r="A29" s="42" t="s">
        <v>36</v>
      </c>
      <c r="B29" s="47">
        <v>0</v>
      </c>
      <c r="C29" s="77" t="s">
        <v>134</v>
      </c>
      <c r="D29" s="77" t="s">
        <v>134</v>
      </c>
      <c r="E29" s="86" t="s">
        <v>134</v>
      </c>
      <c r="F29" s="86" t="s">
        <v>134</v>
      </c>
      <c r="G29" s="86"/>
      <c r="H29" s="134"/>
      <c r="I29" s="141">
        <v>27</v>
      </c>
    </row>
    <row r="30" spans="1:9" ht="15.75" x14ac:dyDescent="0.25">
      <c r="A30" s="42" t="s">
        <v>37</v>
      </c>
      <c r="B30" s="48">
        <v>94.444444444444443</v>
      </c>
      <c r="C30" s="44" t="s">
        <v>129</v>
      </c>
      <c r="D30" s="44" t="s">
        <v>129</v>
      </c>
      <c r="E30" s="104">
        <f>B30/80.8*100</f>
        <v>116.8866886688669</v>
      </c>
      <c r="F30" s="104">
        <f>(B30/75.1)*100</f>
        <v>125.75824826157715</v>
      </c>
      <c r="G30" s="90">
        <f t="shared" ref="G30:H33" si="10">E30-100</f>
        <v>16.886688668866896</v>
      </c>
      <c r="H30" s="133">
        <f t="shared" si="10"/>
        <v>25.758248261577151</v>
      </c>
      <c r="I30" s="141">
        <v>28</v>
      </c>
    </row>
    <row r="31" spans="1:9" ht="15.75" x14ac:dyDescent="0.25">
      <c r="A31" s="42" t="s">
        <v>38</v>
      </c>
      <c r="B31" s="45">
        <v>29.411764705882351</v>
      </c>
      <c r="C31" s="46" t="s">
        <v>130</v>
      </c>
      <c r="D31" s="46" t="s">
        <v>130</v>
      </c>
      <c r="E31" s="104">
        <f>B31/80.8*100</f>
        <v>36.400698893418756</v>
      </c>
      <c r="F31" s="104">
        <f>(B31/75.1)*100</f>
        <v>39.163468316754134</v>
      </c>
      <c r="G31" s="90">
        <f t="shared" si="10"/>
        <v>-63.599301106581244</v>
      </c>
      <c r="H31" s="133">
        <f t="shared" si="10"/>
        <v>-60.836531683245866</v>
      </c>
      <c r="I31" s="141">
        <v>29</v>
      </c>
    </row>
    <row r="32" spans="1:9" ht="15.75" x14ac:dyDescent="0.25">
      <c r="A32" s="42" t="s">
        <v>39</v>
      </c>
      <c r="B32" s="45">
        <v>95.454545454545453</v>
      </c>
      <c r="C32" s="44" t="s">
        <v>129</v>
      </c>
      <c r="D32" s="44" t="s">
        <v>129</v>
      </c>
      <c r="E32" s="104">
        <f>B32/80.8*100</f>
        <v>118.13681368136815</v>
      </c>
      <c r="F32" s="104">
        <f>(B32/75.1)*100</f>
        <v>127.10325626437478</v>
      </c>
      <c r="G32" s="90">
        <f t="shared" si="10"/>
        <v>18.136813681368153</v>
      </c>
      <c r="H32" s="133">
        <f t="shared" si="10"/>
        <v>27.103256264374778</v>
      </c>
      <c r="I32" s="141">
        <v>30</v>
      </c>
    </row>
    <row r="33" spans="1:9" ht="16.5" thickBot="1" x14ac:dyDescent="0.3">
      <c r="A33" s="56" t="s">
        <v>40</v>
      </c>
      <c r="B33" s="57">
        <v>92.307692307692307</v>
      </c>
      <c r="C33" s="83" t="s">
        <v>129</v>
      </c>
      <c r="D33" s="83" t="s">
        <v>129</v>
      </c>
      <c r="E33" s="127">
        <f>B33/80.8*100</f>
        <v>114.24219345011424</v>
      </c>
      <c r="F33" s="127">
        <f>(B33/75.1)*100</f>
        <v>122.9130390248899</v>
      </c>
      <c r="G33" s="92">
        <f t="shared" si="10"/>
        <v>14.242193450114243</v>
      </c>
      <c r="H33" s="133">
        <f t="shared" si="10"/>
        <v>22.913039024889898</v>
      </c>
      <c r="I33" s="141">
        <v>31</v>
      </c>
    </row>
    <row r="34" spans="1:9" ht="16.5" thickTop="1" x14ac:dyDescent="0.25">
      <c r="A34" s="49" t="s">
        <v>107</v>
      </c>
      <c r="B34" s="52">
        <v>79.292929292929287</v>
      </c>
      <c r="C34" s="82">
        <v>79.292929292929287</v>
      </c>
      <c r="D34" s="78" t="s">
        <v>129</v>
      </c>
      <c r="E34" s="95"/>
      <c r="F34" s="106"/>
      <c r="G34" s="95"/>
      <c r="H34" s="137"/>
      <c r="I34" s="141">
        <v>32</v>
      </c>
    </row>
    <row r="35" spans="1:9" ht="15.75" x14ac:dyDescent="0.25">
      <c r="A35" s="64" t="s">
        <v>96</v>
      </c>
      <c r="B35" s="48">
        <v>77.777777777777786</v>
      </c>
      <c r="C35" s="46" t="s">
        <v>130</v>
      </c>
      <c r="D35" s="44" t="s">
        <v>129</v>
      </c>
      <c r="E35" s="104">
        <f t="shared" ref="E35:E41" si="11">B35/79.3*100</f>
        <v>98.080425949278421</v>
      </c>
      <c r="F35" s="104">
        <f t="shared" ref="F35:F41" si="12">(B35/75.1)*100</f>
        <v>103.56561621541648</v>
      </c>
      <c r="G35" s="90">
        <f t="shared" ref="G35:H41" si="13">E35-100</f>
        <v>-1.9195740507215788</v>
      </c>
      <c r="H35" s="133">
        <f t="shared" si="13"/>
        <v>3.5656162154164832</v>
      </c>
      <c r="I35" s="141">
        <v>33</v>
      </c>
    </row>
    <row r="36" spans="1:9" ht="15.75" x14ac:dyDescent="0.25">
      <c r="A36" s="64" t="s">
        <v>41</v>
      </c>
      <c r="B36" s="48">
        <v>92.857142857142847</v>
      </c>
      <c r="C36" s="44" t="s">
        <v>129</v>
      </c>
      <c r="D36" s="44" t="s">
        <v>129</v>
      </c>
      <c r="E36" s="104">
        <f t="shared" si="11"/>
        <v>117.09601873536299</v>
      </c>
      <c r="F36" s="104">
        <f t="shared" si="12"/>
        <v>123.64466425718091</v>
      </c>
      <c r="G36" s="90">
        <f t="shared" si="13"/>
        <v>17.096018735362989</v>
      </c>
      <c r="H36" s="133">
        <f t="shared" si="13"/>
        <v>23.644664257180906</v>
      </c>
      <c r="I36" s="141">
        <v>34</v>
      </c>
    </row>
    <row r="37" spans="1:9" ht="15.75" x14ac:dyDescent="0.25">
      <c r="A37" s="64" t="s">
        <v>42</v>
      </c>
      <c r="B37" s="48">
        <v>56</v>
      </c>
      <c r="C37" s="46" t="s">
        <v>130</v>
      </c>
      <c r="D37" s="46" t="s">
        <v>130</v>
      </c>
      <c r="E37" s="104">
        <f t="shared" si="11"/>
        <v>70.617906683480456</v>
      </c>
      <c r="F37" s="104">
        <f t="shared" si="12"/>
        <v>74.567243675099874</v>
      </c>
      <c r="G37" s="90">
        <f t="shared" si="13"/>
        <v>-29.382093316519544</v>
      </c>
      <c r="H37" s="133">
        <f t="shared" si="13"/>
        <v>-25.432756324900126</v>
      </c>
      <c r="I37" s="141">
        <v>35</v>
      </c>
    </row>
    <row r="38" spans="1:9" ht="15.75" x14ac:dyDescent="0.25">
      <c r="A38" s="64" t="s">
        <v>43</v>
      </c>
      <c r="B38" s="48">
        <v>84.090909090909093</v>
      </c>
      <c r="C38" s="44" t="s">
        <v>129</v>
      </c>
      <c r="D38" s="44" t="s">
        <v>129</v>
      </c>
      <c r="E38" s="104">
        <f t="shared" si="11"/>
        <v>106.04149948412245</v>
      </c>
      <c r="F38" s="104">
        <f t="shared" si="12"/>
        <v>111.97191623290159</v>
      </c>
      <c r="G38" s="90">
        <f t="shared" si="13"/>
        <v>6.0414994841224541</v>
      </c>
      <c r="H38" s="133">
        <f t="shared" si="13"/>
        <v>11.971916232901592</v>
      </c>
      <c r="I38" s="141">
        <v>36</v>
      </c>
    </row>
    <row r="39" spans="1:9" ht="15.75" x14ac:dyDescent="0.25">
      <c r="A39" s="64" t="s">
        <v>44</v>
      </c>
      <c r="B39" s="48">
        <v>84.615384615384613</v>
      </c>
      <c r="C39" s="44" t="s">
        <v>129</v>
      </c>
      <c r="D39" s="44" t="s">
        <v>129</v>
      </c>
      <c r="E39" s="104">
        <f t="shared" si="11"/>
        <v>106.70288097778639</v>
      </c>
      <c r="F39" s="104">
        <f t="shared" si="12"/>
        <v>112.67028577281575</v>
      </c>
      <c r="G39" s="90">
        <f t="shared" si="13"/>
        <v>6.7028809777863927</v>
      </c>
      <c r="H39" s="133">
        <f t="shared" si="13"/>
        <v>12.670285772815745</v>
      </c>
      <c r="I39" s="141">
        <v>37</v>
      </c>
    </row>
    <row r="40" spans="1:9" ht="15.75" x14ac:dyDescent="0.25">
      <c r="A40" s="64" t="s">
        <v>45</v>
      </c>
      <c r="B40" s="48">
        <v>84.21052631578948</v>
      </c>
      <c r="C40" s="44" t="s">
        <v>129</v>
      </c>
      <c r="D40" s="44" t="s">
        <v>129</v>
      </c>
      <c r="E40" s="104">
        <f t="shared" si="11"/>
        <v>106.19234087741422</v>
      </c>
      <c r="F40" s="104">
        <f t="shared" si="12"/>
        <v>112.13119349639081</v>
      </c>
      <c r="G40" s="90">
        <f t="shared" si="13"/>
        <v>6.1923408774142246</v>
      </c>
      <c r="H40" s="133">
        <f t="shared" si="13"/>
        <v>12.131193496390807</v>
      </c>
      <c r="I40" s="141">
        <v>38</v>
      </c>
    </row>
    <row r="41" spans="1:9" ht="16.5" thickBot="1" x14ac:dyDescent="0.3">
      <c r="A41" s="65" t="s">
        <v>46</v>
      </c>
      <c r="B41" s="66">
        <v>78.181818181818173</v>
      </c>
      <c r="C41" s="79" t="s">
        <v>130</v>
      </c>
      <c r="D41" s="58" t="s">
        <v>129</v>
      </c>
      <c r="E41" s="127">
        <f t="shared" si="11"/>
        <v>98.589934655508415</v>
      </c>
      <c r="F41" s="127">
        <f t="shared" si="12"/>
        <v>104.10361941653552</v>
      </c>
      <c r="G41" s="90">
        <f t="shared" si="13"/>
        <v>-1.4100653444915849</v>
      </c>
      <c r="H41" s="133">
        <f t="shared" si="13"/>
        <v>4.1036194165355226</v>
      </c>
      <c r="I41" s="141">
        <v>39</v>
      </c>
    </row>
    <row r="42" spans="1:9" ht="32.25" thickTop="1" x14ac:dyDescent="0.25">
      <c r="A42" s="49" t="s">
        <v>47</v>
      </c>
      <c r="B42" s="52">
        <v>72.222222222222229</v>
      </c>
      <c r="C42" s="82">
        <v>72.222222222222229</v>
      </c>
      <c r="D42" s="46" t="s">
        <v>130</v>
      </c>
      <c r="E42" s="106"/>
      <c r="F42" s="106"/>
      <c r="G42" s="94"/>
      <c r="H42" s="138"/>
      <c r="I42" s="141">
        <v>40</v>
      </c>
    </row>
    <row r="43" spans="1:9" ht="15.75" x14ac:dyDescent="0.25">
      <c r="A43" s="67" t="s">
        <v>48</v>
      </c>
      <c r="B43" s="48">
        <v>80.392156862745097</v>
      </c>
      <c r="C43" s="44" t="s">
        <v>129</v>
      </c>
      <c r="D43" s="44" t="s">
        <v>129</v>
      </c>
      <c r="E43" s="104">
        <f t="shared" ref="E43:E49" si="14">B43/72.2*100</f>
        <v>111.34647764923142</v>
      </c>
      <c r="F43" s="104">
        <f t="shared" ref="F43:F49" si="15">(B43/75.1)*100</f>
        <v>107.04681339912796</v>
      </c>
      <c r="G43" s="90">
        <f t="shared" ref="G43:H49" si="16">E43-100</f>
        <v>11.346477649231417</v>
      </c>
      <c r="H43" s="133">
        <f t="shared" si="16"/>
        <v>7.0468133991279558</v>
      </c>
      <c r="I43" s="141">
        <v>41</v>
      </c>
    </row>
    <row r="44" spans="1:9" ht="15.75" x14ac:dyDescent="0.25">
      <c r="A44" s="67" t="s">
        <v>97</v>
      </c>
      <c r="B44" s="48">
        <v>44.444444444444443</v>
      </c>
      <c r="C44" s="46" t="s">
        <v>130</v>
      </c>
      <c r="D44" s="46" t="s">
        <v>130</v>
      </c>
      <c r="E44" s="104">
        <f t="shared" si="14"/>
        <v>61.557402277623886</v>
      </c>
      <c r="F44" s="104">
        <f t="shared" si="15"/>
        <v>59.180352123095133</v>
      </c>
      <c r="G44" s="90">
        <f t="shared" si="16"/>
        <v>-38.442597722376114</v>
      </c>
      <c r="H44" s="133">
        <f t="shared" si="16"/>
        <v>-40.819647876904867</v>
      </c>
      <c r="I44" s="141">
        <v>42</v>
      </c>
    </row>
    <row r="45" spans="1:9" ht="15.75" x14ac:dyDescent="0.25">
      <c r="A45" s="67" t="s">
        <v>49</v>
      </c>
      <c r="B45" s="48">
        <v>76.92307692307692</v>
      </c>
      <c r="C45" s="44" t="s">
        <v>129</v>
      </c>
      <c r="D45" s="44" t="s">
        <v>129</v>
      </c>
      <c r="E45" s="104">
        <f t="shared" si="14"/>
        <v>106.54165778819518</v>
      </c>
      <c r="F45" s="104">
        <f t="shared" si="15"/>
        <v>102.42753252074156</v>
      </c>
      <c r="G45" s="90">
        <f t="shared" si="16"/>
        <v>6.541657788195181</v>
      </c>
      <c r="H45" s="133">
        <f t="shared" si="16"/>
        <v>2.4275325207415648</v>
      </c>
      <c r="I45" s="141">
        <v>43</v>
      </c>
    </row>
    <row r="46" spans="1:9" ht="15.75" x14ac:dyDescent="0.25">
      <c r="A46" s="67" t="s">
        <v>50</v>
      </c>
      <c r="B46" s="48">
        <v>83.333333333333343</v>
      </c>
      <c r="C46" s="44" t="s">
        <v>129</v>
      </c>
      <c r="D46" s="44" t="s">
        <v>129</v>
      </c>
      <c r="E46" s="104">
        <f t="shared" si="14"/>
        <v>115.42012927054479</v>
      </c>
      <c r="F46" s="104">
        <f t="shared" si="15"/>
        <v>110.9631602308034</v>
      </c>
      <c r="G46" s="90">
        <f t="shared" si="16"/>
        <v>15.420129270544791</v>
      </c>
      <c r="H46" s="133">
        <f t="shared" si="16"/>
        <v>10.963160230803396</v>
      </c>
      <c r="I46" s="141">
        <v>44</v>
      </c>
    </row>
    <row r="47" spans="1:9" ht="15.75" x14ac:dyDescent="0.25">
      <c r="A47" s="67" t="s">
        <v>51</v>
      </c>
      <c r="B47" s="48">
        <v>88.888888888888886</v>
      </c>
      <c r="C47" s="44" t="s">
        <v>129</v>
      </c>
      <c r="D47" s="44" t="s">
        <v>129</v>
      </c>
      <c r="E47" s="104">
        <f t="shared" si="14"/>
        <v>123.11480455524777</v>
      </c>
      <c r="F47" s="104">
        <f t="shared" si="15"/>
        <v>118.36070424619027</v>
      </c>
      <c r="G47" s="90">
        <f t="shared" si="16"/>
        <v>23.114804555247773</v>
      </c>
      <c r="H47" s="133">
        <f t="shared" si="16"/>
        <v>18.360704246190267</v>
      </c>
      <c r="I47" s="141">
        <v>45</v>
      </c>
    </row>
    <row r="48" spans="1:9" ht="15.75" x14ac:dyDescent="0.25">
      <c r="A48" s="67" t="s">
        <v>98</v>
      </c>
      <c r="B48" s="48">
        <v>88.235294117647058</v>
      </c>
      <c r="C48" s="44" t="s">
        <v>129</v>
      </c>
      <c r="D48" s="44" t="s">
        <v>129</v>
      </c>
      <c r="E48" s="104">
        <f t="shared" si="14"/>
        <v>122.20954863940034</v>
      </c>
      <c r="F48" s="104">
        <f t="shared" si="15"/>
        <v>117.49040495026239</v>
      </c>
      <c r="G48" s="90">
        <f t="shared" si="16"/>
        <v>22.209548639400339</v>
      </c>
      <c r="H48" s="133">
        <f t="shared" si="16"/>
        <v>17.490404950262388</v>
      </c>
      <c r="I48" s="141">
        <v>46</v>
      </c>
    </row>
    <row r="49" spans="1:12" ht="16.5" thickBot="1" x14ac:dyDescent="0.3">
      <c r="A49" s="68" t="s">
        <v>52</v>
      </c>
      <c r="B49" s="66">
        <v>48.484848484848484</v>
      </c>
      <c r="C49" s="79" t="s">
        <v>130</v>
      </c>
      <c r="D49" s="79" t="s">
        <v>130</v>
      </c>
      <c r="E49" s="127">
        <f t="shared" si="14"/>
        <v>67.153529757407867</v>
      </c>
      <c r="F49" s="127">
        <f t="shared" si="15"/>
        <v>64.560384134285613</v>
      </c>
      <c r="G49" s="90">
        <f t="shared" si="16"/>
        <v>-32.846470242592133</v>
      </c>
      <c r="H49" s="133">
        <f t="shared" si="16"/>
        <v>-35.439615865714387</v>
      </c>
      <c r="I49" s="141">
        <v>47</v>
      </c>
    </row>
    <row r="50" spans="1:12" ht="32.25" thickTop="1" x14ac:dyDescent="0.25">
      <c r="A50" s="49" t="s">
        <v>53</v>
      </c>
      <c r="B50" s="52">
        <v>77.394636015325673</v>
      </c>
      <c r="C50" s="84">
        <v>77.394636015325673</v>
      </c>
      <c r="D50" s="78" t="s">
        <v>129</v>
      </c>
      <c r="E50" s="106"/>
      <c r="F50" s="106"/>
      <c r="G50" s="94"/>
      <c r="H50" s="138"/>
      <c r="I50" s="141">
        <v>48</v>
      </c>
    </row>
    <row r="51" spans="1:12" ht="15.75" x14ac:dyDescent="0.25">
      <c r="A51" s="69" t="s">
        <v>54</v>
      </c>
      <c r="B51" s="45">
        <v>85.714285714285708</v>
      </c>
      <c r="C51" s="44" t="s">
        <v>129</v>
      </c>
      <c r="D51" s="44" t="s">
        <v>129</v>
      </c>
      <c r="E51" s="104">
        <f t="shared" ref="E51:E64" si="17">B51/77.4*100</f>
        <v>110.74197120708746</v>
      </c>
      <c r="F51" s="104">
        <f t="shared" ref="F51:F64" si="18">(B51/75.1)*100</f>
        <v>114.13353623739775</v>
      </c>
      <c r="G51" s="90">
        <f t="shared" ref="G51:G64" si="19">E51-100</f>
        <v>10.74197120708746</v>
      </c>
      <c r="H51" s="133">
        <f t="shared" ref="H51:H64" si="20">F51-100</f>
        <v>14.133536237397749</v>
      </c>
      <c r="I51" s="141">
        <v>49</v>
      </c>
    </row>
    <row r="52" spans="1:12" ht="15.75" x14ac:dyDescent="0.25">
      <c r="A52" s="69" t="s">
        <v>55</v>
      </c>
      <c r="B52" s="45">
        <v>82.35294117647058</v>
      </c>
      <c r="C52" s="44" t="s">
        <v>129</v>
      </c>
      <c r="D52" s="44" t="s">
        <v>129</v>
      </c>
      <c r="E52" s="104">
        <f t="shared" si="17"/>
        <v>106.39914880680952</v>
      </c>
      <c r="F52" s="104">
        <f t="shared" si="18"/>
        <v>109.65771128691158</v>
      </c>
      <c r="G52" s="90">
        <f t="shared" si="19"/>
        <v>6.3991488068095208</v>
      </c>
      <c r="H52" s="133">
        <f t="shared" si="20"/>
        <v>9.657711286911578</v>
      </c>
      <c r="I52" s="141">
        <v>50</v>
      </c>
      <c r="K52" t="s">
        <v>155</v>
      </c>
      <c r="L52" t="s">
        <v>157</v>
      </c>
    </row>
    <row r="53" spans="1:12" ht="15.75" x14ac:dyDescent="0.25">
      <c r="A53" s="69" t="s">
        <v>56</v>
      </c>
      <c r="B53" s="45">
        <v>95.65217391304347</v>
      </c>
      <c r="C53" s="44" t="s">
        <v>129</v>
      </c>
      <c r="D53" s="44" t="s">
        <v>129</v>
      </c>
      <c r="E53" s="104">
        <f t="shared" si="17"/>
        <v>123.58162004269182</v>
      </c>
      <c r="F53" s="104">
        <f t="shared" si="18"/>
        <v>127.36641000405255</v>
      </c>
      <c r="G53" s="90">
        <f t="shared" si="19"/>
        <v>23.581620042691824</v>
      </c>
      <c r="H53" s="133">
        <f t="shared" si="20"/>
        <v>27.366410004052554</v>
      </c>
      <c r="I53" s="141">
        <v>51</v>
      </c>
      <c r="K53" t="s">
        <v>154</v>
      </c>
      <c r="L53">
        <v>80</v>
      </c>
    </row>
    <row r="54" spans="1:12" ht="15.75" x14ac:dyDescent="0.25">
      <c r="A54" s="43" t="s">
        <v>100</v>
      </c>
      <c r="B54" s="45">
        <v>95.555555555555557</v>
      </c>
      <c r="C54" s="44" t="s">
        <v>129</v>
      </c>
      <c r="D54" s="44" t="s">
        <v>129</v>
      </c>
      <c r="E54" s="104">
        <f t="shared" si="17"/>
        <v>123.45679012345678</v>
      </c>
      <c r="F54" s="104">
        <f t="shared" si="18"/>
        <v>127.23775706465455</v>
      </c>
      <c r="G54" s="90">
        <f t="shared" si="19"/>
        <v>23.456790123456784</v>
      </c>
      <c r="H54" s="133">
        <f t="shared" si="20"/>
        <v>27.237757064654545</v>
      </c>
      <c r="I54" s="141">
        <v>52</v>
      </c>
      <c r="K54" t="s">
        <v>153</v>
      </c>
      <c r="L54">
        <v>50</v>
      </c>
    </row>
    <row r="55" spans="1:12" ht="15.75" x14ac:dyDescent="0.25">
      <c r="A55" s="69" t="s">
        <v>57</v>
      </c>
      <c r="B55" s="45">
        <v>83.333333333333343</v>
      </c>
      <c r="C55" s="44" t="s">
        <v>129</v>
      </c>
      <c r="D55" s="44" t="s">
        <v>129</v>
      </c>
      <c r="E55" s="104">
        <f t="shared" si="17"/>
        <v>107.66580534022394</v>
      </c>
      <c r="F55" s="104">
        <f t="shared" si="18"/>
        <v>110.9631602308034</v>
      </c>
      <c r="G55" s="90">
        <f t="shared" si="19"/>
        <v>7.6658053402239403</v>
      </c>
      <c r="H55" s="133">
        <f t="shared" si="20"/>
        <v>10.963160230803396</v>
      </c>
      <c r="I55" s="141">
        <v>53</v>
      </c>
      <c r="K55" s="149" t="s">
        <v>152</v>
      </c>
      <c r="L55" t="s">
        <v>156</v>
      </c>
    </row>
    <row r="56" spans="1:12" ht="15.75" x14ac:dyDescent="0.25">
      <c r="A56" s="43" t="s">
        <v>99</v>
      </c>
      <c r="B56" s="45">
        <v>80.769230769230759</v>
      </c>
      <c r="C56" s="44" t="s">
        <v>129</v>
      </c>
      <c r="D56" s="44" t="s">
        <v>129</v>
      </c>
      <c r="E56" s="104">
        <f t="shared" si="17"/>
        <v>104.3530113297555</v>
      </c>
      <c r="F56" s="104">
        <f t="shared" si="18"/>
        <v>107.54890914677866</v>
      </c>
      <c r="G56" s="90">
        <f t="shared" si="19"/>
        <v>4.3530113297555033</v>
      </c>
      <c r="H56" s="133">
        <f t="shared" si="20"/>
        <v>7.5489091467786551</v>
      </c>
      <c r="I56" s="141">
        <v>54</v>
      </c>
      <c r="K56" t="s">
        <v>151</v>
      </c>
      <c r="L56" t="s">
        <v>164</v>
      </c>
    </row>
    <row r="57" spans="1:12" ht="15.75" x14ac:dyDescent="0.25">
      <c r="A57" s="69" t="s">
        <v>58</v>
      </c>
      <c r="B57" s="45">
        <v>15.217391304347826</v>
      </c>
      <c r="C57" s="46" t="s">
        <v>130</v>
      </c>
      <c r="D57" s="46" t="s">
        <v>130</v>
      </c>
      <c r="E57" s="104">
        <f t="shared" si="17"/>
        <v>19.660712279519153</v>
      </c>
      <c r="F57" s="104">
        <f t="shared" si="18"/>
        <v>20.262837955190182</v>
      </c>
      <c r="G57" s="90">
        <f t="shared" si="19"/>
        <v>-80.339287720480854</v>
      </c>
      <c r="H57" s="133">
        <f t="shared" si="20"/>
        <v>-79.737162044809821</v>
      </c>
      <c r="I57" s="141">
        <v>55</v>
      </c>
      <c r="K57" s="150"/>
    </row>
    <row r="58" spans="1:12" ht="15.75" x14ac:dyDescent="0.25">
      <c r="A58" s="69" t="s">
        <v>59</v>
      </c>
      <c r="B58" s="45">
        <v>86.666666666666671</v>
      </c>
      <c r="C58" s="44" t="s">
        <v>129</v>
      </c>
      <c r="D58" s="44" t="s">
        <v>129</v>
      </c>
      <c r="E58" s="104">
        <f t="shared" si="17"/>
        <v>111.9724375538329</v>
      </c>
      <c r="F58" s="104">
        <f t="shared" si="18"/>
        <v>115.40168664003552</v>
      </c>
      <c r="G58" s="90">
        <f t="shared" si="19"/>
        <v>11.972437553832904</v>
      </c>
      <c r="H58" s="133">
        <f t="shared" si="20"/>
        <v>15.401686640035521</v>
      </c>
      <c r="I58" s="141">
        <v>56</v>
      </c>
      <c r="K58" s="150" t="s">
        <v>158</v>
      </c>
      <c r="L58" t="s">
        <v>165</v>
      </c>
    </row>
    <row r="59" spans="1:12" ht="15.75" x14ac:dyDescent="0.25">
      <c r="A59" s="69" t="s">
        <v>60</v>
      </c>
      <c r="B59" s="45">
        <v>71.153846153846146</v>
      </c>
      <c r="C59" s="46" t="s">
        <v>130</v>
      </c>
      <c r="D59" s="46" t="s">
        <v>130</v>
      </c>
      <c r="E59" s="104">
        <f t="shared" si="17"/>
        <v>91.930033790498882</v>
      </c>
      <c r="F59" s="104">
        <f t="shared" si="18"/>
        <v>94.745467581685944</v>
      </c>
      <c r="G59" s="90">
        <f t="shared" si="19"/>
        <v>-8.0699662095011178</v>
      </c>
      <c r="H59" s="133">
        <f t="shared" si="20"/>
        <v>-5.2545324183140565</v>
      </c>
      <c r="I59" s="141">
        <v>57</v>
      </c>
      <c r="K59" s="150" t="s">
        <v>159</v>
      </c>
      <c r="L59" t="s">
        <v>166</v>
      </c>
    </row>
    <row r="60" spans="1:12" ht="15.75" x14ac:dyDescent="0.25">
      <c r="A60" s="69" t="s">
        <v>61</v>
      </c>
      <c r="B60" s="48">
        <v>69.047619047619051</v>
      </c>
      <c r="C60" s="46" t="s">
        <v>130</v>
      </c>
      <c r="D60" s="46" t="s">
        <v>130</v>
      </c>
      <c r="E60" s="104">
        <f t="shared" si="17"/>
        <v>89.208810139042697</v>
      </c>
      <c r="F60" s="104">
        <f t="shared" si="18"/>
        <v>91.940904191237095</v>
      </c>
      <c r="G60" s="90">
        <f t="shared" si="19"/>
        <v>-10.791189860957303</v>
      </c>
      <c r="H60" s="133">
        <f t="shared" si="20"/>
        <v>-8.0590958087629048</v>
      </c>
      <c r="I60" s="141">
        <v>58</v>
      </c>
      <c r="K60" s="150" t="s">
        <v>160</v>
      </c>
      <c r="L60">
        <v>55</v>
      </c>
    </row>
    <row r="61" spans="1:12" ht="15.75" x14ac:dyDescent="0.25">
      <c r="A61" s="69" t="s">
        <v>62</v>
      </c>
      <c r="B61" s="45">
        <v>90</v>
      </c>
      <c r="C61" s="44" t="s">
        <v>129</v>
      </c>
      <c r="D61" s="44" t="s">
        <v>129</v>
      </c>
      <c r="E61" s="104">
        <f t="shared" si="17"/>
        <v>116.27906976744184</v>
      </c>
      <c r="F61" s="104">
        <f t="shared" si="18"/>
        <v>119.84021304926766</v>
      </c>
      <c r="G61" s="90">
        <f t="shared" si="19"/>
        <v>16.27906976744184</v>
      </c>
      <c r="H61" s="133">
        <f t="shared" si="20"/>
        <v>19.84021304926766</v>
      </c>
      <c r="I61" s="141">
        <v>59</v>
      </c>
      <c r="K61" s="150" t="s">
        <v>161</v>
      </c>
      <c r="L61">
        <v>75</v>
      </c>
    </row>
    <row r="62" spans="1:12" ht="15.75" x14ac:dyDescent="0.25">
      <c r="A62" s="69" t="s">
        <v>63</v>
      </c>
      <c r="B62" s="45">
        <v>72.972972972972968</v>
      </c>
      <c r="C62" s="46" t="s">
        <v>130</v>
      </c>
      <c r="D62" s="46" t="s">
        <v>130</v>
      </c>
      <c r="E62" s="104">
        <f t="shared" si="17"/>
        <v>94.280326838466351</v>
      </c>
      <c r="F62" s="104">
        <f t="shared" si="18"/>
        <v>97.167740310217013</v>
      </c>
      <c r="G62" s="90">
        <f t="shared" si="19"/>
        <v>-5.7196731615336489</v>
      </c>
      <c r="H62" s="133">
        <f t="shared" si="20"/>
        <v>-2.8322596897829868</v>
      </c>
      <c r="I62" s="141">
        <v>60</v>
      </c>
      <c r="K62" s="150" t="s">
        <v>162</v>
      </c>
      <c r="L62">
        <v>100</v>
      </c>
    </row>
    <row r="63" spans="1:12" ht="15.75" x14ac:dyDescent="0.25">
      <c r="A63" s="69" t="s">
        <v>64</v>
      </c>
      <c r="B63" s="45">
        <v>90.476190476190482</v>
      </c>
      <c r="C63" s="44" t="s">
        <v>129</v>
      </c>
      <c r="D63" s="44" t="s">
        <v>129</v>
      </c>
      <c r="E63" s="104">
        <f t="shared" si="17"/>
        <v>116.89430294081458</v>
      </c>
      <c r="F63" s="104">
        <f t="shared" si="18"/>
        <v>120.47428825058653</v>
      </c>
      <c r="G63" s="90">
        <f t="shared" si="19"/>
        <v>16.894302940814583</v>
      </c>
      <c r="H63" s="133">
        <f t="shared" si="20"/>
        <v>20.474288250586525</v>
      </c>
      <c r="I63" s="141">
        <v>61</v>
      </c>
      <c r="K63" s="150" t="s">
        <v>163</v>
      </c>
    </row>
    <row r="64" spans="1:12" ht="16.5" thickBot="1" x14ac:dyDescent="0.3">
      <c r="A64" s="70" t="s">
        <v>65</v>
      </c>
      <c r="B64" s="57">
        <v>87.5</v>
      </c>
      <c r="C64" s="83" t="s">
        <v>129</v>
      </c>
      <c r="D64" s="83" t="s">
        <v>129</v>
      </c>
      <c r="E64" s="127">
        <f t="shared" si="17"/>
        <v>113.04909560723513</v>
      </c>
      <c r="F64" s="127">
        <f t="shared" si="18"/>
        <v>116.51131824234355</v>
      </c>
      <c r="G64" s="90">
        <f t="shared" si="19"/>
        <v>13.049095607235131</v>
      </c>
      <c r="H64" s="133">
        <f t="shared" si="20"/>
        <v>16.511318242343549</v>
      </c>
      <c r="I64" s="141">
        <v>62</v>
      </c>
      <c r="K64" s="129"/>
    </row>
    <row r="65" spans="1:11" ht="16.5" thickTop="1" x14ac:dyDescent="0.25">
      <c r="A65" s="49" t="s">
        <v>66</v>
      </c>
      <c r="B65" s="52">
        <v>45.320197044334982</v>
      </c>
      <c r="C65" s="82">
        <v>45.320197044334982</v>
      </c>
      <c r="D65" s="80" t="s">
        <v>130</v>
      </c>
      <c r="E65" s="106"/>
      <c r="F65" s="106"/>
      <c r="G65" s="94"/>
      <c r="H65" s="138"/>
      <c r="I65" s="141">
        <v>63</v>
      </c>
      <c r="K65" s="129"/>
    </row>
    <row r="66" spans="1:11" ht="15.75" x14ac:dyDescent="0.25">
      <c r="A66" s="69" t="s">
        <v>67</v>
      </c>
      <c r="B66" s="48">
        <v>92.307692307692307</v>
      </c>
      <c r="C66" s="44" t="s">
        <v>129</v>
      </c>
      <c r="D66" s="44" t="s">
        <v>129</v>
      </c>
      <c r="E66" s="104">
        <f t="shared" ref="E66:E72" si="21">B66/45.3*100</f>
        <v>203.76974019358127</v>
      </c>
      <c r="F66" s="104">
        <f t="shared" ref="F66:F72" si="22">(B66/75.1)*100</f>
        <v>122.9130390248899</v>
      </c>
      <c r="G66" s="90">
        <f t="shared" ref="G66:H72" si="23">E66-100</f>
        <v>103.76974019358127</v>
      </c>
      <c r="H66" s="133">
        <f t="shared" si="23"/>
        <v>22.913039024889898</v>
      </c>
      <c r="I66" s="141">
        <v>64</v>
      </c>
      <c r="K66" s="150"/>
    </row>
    <row r="67" spans="1:11" ht="15.75" x14ac:dyDescent="0.25">
      <c r="A67" s="69" t="s">
        <v>68</v>
      </c>
      <c r="B67" s="48">
        <v>6.8493150684931505</v>
      </c>
      <c r="C67" s="46" t="s">
        <v>130</v>
      </c>
      <c r="D67" s="46" t="s">
        <v>130</v>
      </c>
      <c r="E67" s="104">
        <f t="shared" si="21"/>
        <v>15.119900813450665</v>
      </c>
      <c r="F67" s="104">
        <f t="shared" si="22"/>
        <v>9.1202597449975382</v>
      </c>
      <c r="G67" s="90">
        <f t="shared" si="23"/>
        <v>-84.88009918654933</v>
      </c>
      <c r="H67" s="133">
        <f t="shared" si="23"/>
        <v>-90.87974025500246</v>
      </c>
      <c r="I67" s="141">
        <v>65</v>
      </c>
      <c r="K67" s="150"/>
    </row>
    <row r="68" spans="1:11" ht="15.75" x14ac:dyDescent="0.25">
      <c r="A68" s="69" t="s">
        <v>132</v>
      </c>
      <c r="B68" s="48">
        <f>AVERAGE(B69:B71)</f>
        <v>57.226107226107217</v>
      </c>
      <c r="C68" s="44" t="s">
        <v>129</v>
      </c>
      <c r="D68" s="46" t="s">
        <v>130</v>
      </c>
      <c r="E68" s="104">
        <f t="shared" si="21"/>
        <v>126.32694751900048</v>
      </c>
      <c r="F68" s="104">
        <f t="shared" si="22"/>
        <v>76.199876466188044</v>
      </c>
      <c r="G68" s="90">
        <f t="shared" si="23"/>
        <v>26.326947519000484</v>
      </c>
      <c r="H68" s="133">
        <f t="shared" si="23"/>
        <v>-23.800123533811956</v>
      </c>
      <c r="I68" s="141">
        <v>66</v>
      </c>
      <c r="K68" s="150"/>
    </row>
    <row r="69" spans="1:11" ht="30.75" x14ac:dyDescent="0.25">
      <c r="A69" s="71" t="s">
        <v>109</v>
      </c>
      <c r="B69" s="48">
        <v>40.909090909090907</v>
      </c>
      <c r="C69" s="46" t="s">
        <v>130</v>
      </c>
      <c r="D69" s="46" t="s">
        <v>130</v>
      </c>
      <c r="E69" s="104">
        <f t="shared" si="21"/>
        <v>90.307043949428049</v>
      </c>
      <c r="F69" s="104">
        <f t="shared" si="22"/>
        <v>54.472824113303474</v>
      </c>
      <c r="G69" s="90">
        <f t="shared" si="23"/>
        <v>-9.6929560505719508</v>
      </c>
      <c r="H69" s="133">
        <f t="shared" si="23"/>
        <v>-45.527175886696526</v>
      </c>
      <c r="I69" s="141">
        <v>67</v>
      </c>
      <c r="K69" s="150"/>
    </row>
    <row r="70" spans="1:11" ht="15.75" x14ac:dyDescent="0.25">
      <c r="A70" s="71" t="s">
        <v>110</v>
      </c>
      <c r="B70" s="48">
        <v>53.846153846153847</v>
      </c>
      <c r="C70" s="44" t="s">
        <v>129</v>
      </c>
      <c r="D70" s="46" t="s">
        <v>130</v>
      </c>
      <c r="E70" s="104">
        <f t="shared" si="21"/>
        <v>118.86568177958907</v>
      </c>
      <c r="F70" s="104">
        <f t="shared" si="22"/>
        <v>71.699272764519108</v>
      </c>
      <c r="G70" s="90">
        <f t="shared" si="23"/>
        <v>18.865681779589067</v>
      </c>
      <c r="H70" s="133">
        <f t="shared" si="23"/>
        <v>-28.300727235480892</v>
      </c>
      <c r="I70" s="141">
        <v>68</v>
      </c>
      <c r="K70" s="150"/>
    </row>
    <row r="71" spans="1:11" ht="30.75" x14ac:dyDescent="0.25">
      <c r="A71" s="71" t="s">
        <v>111</v>
      </c>
      <c r="B71" s="48">
        <v>76.92307692307692</v>
      </c>
      <c r="C71" s="44" t="s">
        <v>129</v>
      </c>
      <c r="D71" s="44" t="s">
        <v>129</v>
      </c>
      <c r="E71" s="104">
        <f t="shared" si="21"/>
        <v>169.80811682798438</v>
      </c>
      <c r="F71" s="104">
        <f t="shared" si="22"/>
        <v>102.42753252074156</v>
      </c>
      <c r="G71" s="90">
        <f t="shared" si="23"/>
        <v>69.808116827984378</v>
      </c>
      <c r="H71" s="133">
        <f t="shared" si="23"/>
        <v>2.4275325207415648</v>
      </c>
      <c r="I71" s="141">
        <v>69</v>
      </c>
      <c r="K71" s="150"/>
    </row>
    <row r="72" spans="1:11" ht="16.5" thickBot="1" x14ac:dyDescent="0.3">
      <c r="A72" s="70" t="s">
        <v>70</v>
      </c>
      <c r="B72" s="66">
        <v>62.790697674418603</v>
      </c>
      <c r="C72" s="83" t="s">
        <v>129</v>
      </c>
      <c r="D72" s="79" t="s">
        <v>130</v>
      </c>
      <c r="E72" s="127">
        <f t="shared" si="21"/>
        <v>138.61081164330818</v>
      </c>
      <c r="F72" s="127">
        <f t="shared" si="22"/>
        <v>83.60945096460533</v>
      </c>
      <c r="G72" s="90">
        <f t="shared" si="23"/>
        <v>38.610811643308182</v>
      </c>
      <c r="H72" s="133">
        <f t="shared" si="23"/>
        <v>-16.39054903539467</v>
      </c>
      <c r="I72" s="141">
        <v>70</v>
      </c>
      <c r="K72" s="150"/>
    </row>
    <row r="73" spans="1:11" ht="16.5" thickTop="1" x14ac:dyDescent="0.25">
      <c r="A73" s="49" t="s">
        <v>71</v>
      </c>
      <c r="B73" s="52">
        <v>75.074183976261125</v>
      </c>
      <c r="C73" s="53">
        <v>75.074183976261125</v>
      </c>
      <c r="D73" s="147" t="s">
        <v>150</v>
      </c>
      <c r="E73" s="106"/>
      <c r="F73" s="106"/>
      <c r="G73" s="94"/>
      <c r="H73" s="138"/>
      <c r="I73" s="141">
        <v>71</v>
      </c>
      <c r="K73" s="150"/>
    </row>
    <row r="74" spans="1:11" ht="15.75" x14ac:dyDescent="0.25">
      <c r="A74" s="69" t="s">
        <v>72</v>
      </c>
      <c r="B74" s="48">
        <v>90.909090909090907</v>
      </c>
      <c r="C74" s="44" t="s">
        <v>129</v>
      </c>
      <c r="D74" s="44" t="s">
        <v>129</v>
      </c>
      <c r="E74" s="104">
        <f t="shared" ref="E74:E83" si="24">B74/75.1*100</f>
        <v>121.05072025178549</v>
      </c>
      <c r="F74" s="104">
        <f t="shared" ref="F74:F83" si="25">(B74/75.1)*100</f>
        <v>121.05072025178549</v>
      </c>
      <c r="G74" s="90">
        <f t="shared" ref="G74:G83" si="26">E74-100</f>
        <v>21.050720251785492</v>
      </c>
      <c r="H74" s="133">
        <f t="shared" ref="H74:H83" si="27">F74-100</f>
        <v>21.050720251785492</v>
      </c>
      <c r="I74" s="141">
        <v>72</v>
      </c>
      <c r="K74" s="150"/>
    </row>
    <row r="75" spans="1:11" ht="15.75" x14ac:dyDescent="0.25">
      <c r="A75" s="69" t="s">
        <v>73</v>
      </c>
      <c r="B75" s="48">
        <v>89.473684210526315</v>
      </c>
      <c r="C75" s="44" t="s">
        <v>129</v>
      </c>
      <c r="D75" s="44" t="s">
        <v>129</v>
      </c>
      <c r="E75" s="104">
        <f t="shared" si="24"/>
        <v>119.13939308991522</v>
      </c>
      <c r="F75" s="104">
        <f t="shared" si="25"/>
        <v>119.13939308991522</v>
      </c>
      <c r="G75" s="90">
        <f t="shared" si="26"/>
        <v>19.139393089915217</v>
      </c>
      <c r="H75" s="133">
        <f t="shared" si="27"/>
        <v>19.139393089915217</v>
      </c>
      <c r="I75" s="141">
        <v>73</v>
      </c>
      <c r="K75" s="150"/>
    </row>
    <row r="76" spans="1:11" ht="15.75" x14ac:dyDescent="0.25">
      <c r="A76" s="69" t="s">
        <v>74</v>
      </c>
      <c r="B76" s="48">
        <v>61.538461538461533</v>
      </c>
      <c r="C76" s="46" t="s">
        <v>130</v>
      </c>
      <c r="D76" s="46" t="s">
        <v>130</v>
      </c>
      <c r="E76" s="104">
        <f t="shared" si="24"/>
        <v>81.94202601659326</v>
      </c>
      <c r="F76" s="104">
        <f t="shared" si="25"/>
        <v>81.94202601659326</v>
      </c>
      <c r="G76" s="90">
        <f t="shared" si="26"/>
        <v>-18.05797398340674</v>
      </c>
      <c r="H76" s="133">
        <f t="shared" si="27"/>
        <v>-18.05797398340674</v>
      </c>
      <c r="I76" s="141">
        <v>74</v>
      </c>
    </row>
    <row r="77" spans="1:11" ht="15.75" x14ac:dyDescent="0.25">
      <c r="A77" s="69" t="s">
        <v>75</v>
      </c>
      <c r="B77" s="48">
        <v>85.507246376811594</v>
      </c>
      <c r="C77" s="44" t="s">
        <v>129</v>
      </c>
      <c r="D77" s="44" t="s">
        <v>129</v>
      </c>
      <c r="E77" s="104">
        <f t="shared" si="24"/>
        <v>113.85785136725912</v>
      </c>
      <c r="F77" s="104">
        <f t="shared" si="25"/>
        <v>113.85785136725912</v>
      </c>
      <c r="G77" s="90">
        <f t="shared" si="26"/>
        <v>13.857851367259116</v>
      </c>
      <c r="H77" s="133">
        <f t="shared" si="27"/>
        <v>13.857851367259116</v>
      </c>
      <c r="I77" s="141">
        <v>75</v>
      </c>
    </row>
    <row r="78" spans="1:11" ht="15.75" x14ac:dyDescent="0.25">
      <c r="A78" s="69" t="s">
        <v>76</v>
      </c>
      <c r="B78" s="48">
        <v>72.131147540983605</v>
      </c>
      <c r="C78" s="46" t="s">
        <v>130</v>
      </c>
      <c r="D78" s="46" t="s">
        <v>130</v>
      </c>
      <c r="E78" s="104">
        <f t="shared" si="24"/>
        <v>96.046800986662589</v>
      </c>
      <c r="F78" s="104">
        <f t="shared" si="25"/>
        <v>96.046800986662589</v>
      </c>
      <c r="G78" s="90">
        <f t="shared" si="26"/>
        <v>-3.9531990133374109</v>
      </c>
      <c r="H78" s="133">
        <f t="shared" si="27"/>
        <v>-3.9531990133374109</v>
      </c>
      <c r="I78" s="141">
        <v>76</v>
      </c>
    </row>
    <row r="79" spans="1:11" ht="15.75" x14ac:dyDescent="0.25">
      <c r="A79" s="69" t="s">
        <v>77</v>
      </c>
      <c r="B79" s="48">
        <v>76.19047619047619</v>
      </c>
      <c r="C79" s="44" t="s">
        <v>129</v>
      </c>
      <c r="D79" s="44" t="s">
        <v>129</v>
      </c>
      <c r="E79" s="104">
        <f t="shared" si="24"/>
        <v>101.45203221102024</v>
      </c>
      <c r="F79" s="104">
        <f t="shared" si="25"/>
        <v>101.45203221102024</v>
      </c>
      <c r="G79" s="90">
        <f t="shared" si="26"/>
        <v>1.4520322110202386</v>
      </c>
      <c r="H79" s="133">
        <f t="shared" si="27"/>
        <v>1.4520322110202386</v>
      </c>
      <c r="I79" s="141">
        <v>77</v>
      </c>
    </row>
    <row r="80" spans="1:11" ht="15.75" x14ac:dyDescent="0.25">
      <c r="A80" s="43" t="s">
        <v>101</v>
      </c>
      <c r="B80" s="48">
        <v>14.705882352941176</v>
      </c>
      <c r="C80" s="46" t="s">
        <v>130</v>
      </c>
      <c r="D80" s="46" t="s">
        <v>130</v>
      </c>
      <c r="E80" s="104">
        <f t="shared" si="24"/>
        <v>19.581734158377067</v>
      </c>
      <c r="F80" s="104">
        <f t="shared" si="25"/>
        <v>19.581734158377067</v>
      </c>
      <c r="G80" s="90">
        <f t="shared" si="26"/>
        <v>-80.41826584162294</v>
      </c>
      <c r="H80" s="133">
        <f t="shared" si="27"/>
        <v>-80.41826584162294</v>
      </c>
      <c r="I80" s="141">
        <v>78</v>
      </c>
    </row>
    <row r="81" spans="1:9" ht="15.75" x14ac:dyDescent="0.25">
      <c r="A81" s="69" t="s">
        <v>78</v>
      </c>
      <c r="B81" s="48">
        <v>85.714285714285722</v>
      </c>
      <c r="C81" s="44" t="s">
        <v>129</v>
      </c>
      <c r="D81" s="44" t="s">
        <v>129</v>
      </c>
      <c r="E81" s="104">
        <f t="shared" si="24"/>
        <v>114.13353623739778</v>
      </c>
      <c r="F81" s="104">
        <f t="shared" si="25"/>
        <v>114.13353623739778</v>
      </c>
      <c r="G81" s="90">
        <f t="shared" si="26"/>
        <v>14.133536237397777</v>
      </c>
      <c r="H81" s="133">
        <f t="shared" si="27"/>
        <v>14.133536237397777</v>
      </c>
      <c r="I81" s="141">
        <v>79</v>
      </c>
    </row>
    <row r="82" spans="1:9" ht="15.75" x14ac:dyDescent="0.25">
      <c r="A82" s="69" t="s">
        <v>79</v>
      </c>
      <c r="B82" s="48">
        <v>96.969696969696969</v>
      </c>
      <c r="C82" s="44" t="s">
        <v>129</v>
      </c>
      <c r="D82" s="44" t="s">
        <v>129</v>
      </c>
      <c r="E82" s="104">
        <f t="shared" si="24"/>
        <v>129.12076826857123</v>
      </c>
      <c r="F82" s="104">
        <f t="shared" si="25"/>
        <v>129.12076826857123</v>
      </c>
      <c r="G82" s="90">
        <f t="shared" si="26"/>
        <v>29.120768268571226</v>
      </c>
      <c r="H82" s="133">
        <f t="shared" si="27"/>
        <v>29.120768268571226</v>
      </c>
      <c r="I82" s="141">
        <v>80</v>
      </c>
    </row>
    <row r="83" spans="1:9" ht="16.5" thickBot="1" x14ac:dyDescent="0.3">
      <c r="A83" s="72" t="s">
        <v>80</v>
      </c>
      <c r="B83" s="57">
        <v>80</v>
      </c>
      <c r="C83" s="58" t="s">
        <v>129</v>
      </c>
      <c r="D83" s="58" t="s">
        <v>129</v>
      </c>
      <c r="E83" s="127">
        <f t="shared" si="24"/>
        <v>106.52463382157124</v>
      </c>
      <c r="F83" s="127">
        <f t="shared" si="25"/>
        <v>106.52463382157124</v>
      </c>
      <c r="G83" s="90">
        <f t="shared" si="26"/>
        <v>6.5246338215712427</v>
      </c>
      <c r="H83" s="133">
        <f t="shared" si="27"/>
        <v>6.5246338215712427</v>
      </c>
      <c r="I83" s="141">
        <v>81</v>
      </c>
    </row>
    <row r="84" spans="1:9" ht="32.25" thickTop="1" x14ac:dyDescent="0.25">
      <c r="A84" s="49" t="s">
        <v>81</v>
      </c>
      <c r="B84" s="73">
        <v>79.310344827586221</v>
      </c>
      <c r="C84" s="74">
        <v>79.310344827586221</v>
      </c>
      <c r="D84" s="44" t="s">
        <v>129</v>
      </c>
      <c r="E84" s="106"/>
      <c r="F84" s="106"/>
      <c r="G84" s="94"/>
      <c r="H84" s="138"/>
      <c r="I84" s="141">
        <v>82</v>
      </c>
    </row>
    <row r="85" spans="1:9" ht="15.75" x14ac:dyDescent="0.25">
      <c r="A85" s="69" t="s">
        <v>82</v>
      </c>
      <c r="B85" s="48">
        <v>91.304347826086953</v>
      </c>
      <c r="C85" s="44" t="s">
        <v>129</v>
      </c>
      <c r="D85" s="44" t="s">
        <v>129</v>
      </c>
      <c r="E85" s="104">
        <f t="shared" ref="E85:E91" si="28">B85/79.3*100</f>
        <v>115.13789133176159</v>
      </c>
      <c r="F85" s="104">
        <f t="shared" ref="F85:F91" si="29">(B85/75.1)*100</f>
        <v>121.5770277311411</v>
      </c>
      <c r="G85" s="90">
        <f t="shared" ref="G85:H91" si="30">E85-100</f>
        <v>15.137891331761594</v>
      </c>
      <c r="H85" s="133">
        <f t="shared" si="30"/>
        <v>21.577027731141101</v>
      </c>
      <c r="I85" s="141">
        <v>83</v>
      </c>
    </row>
    <row r="86" spans="1:9" ht="15.75" x14ac:dyDescent="0.25">
      <c r="A86" s="69" t="s">
        <v>83</v>
      </c>
      <c r="B86" s="48">
        <v>94.444444444444443</v>
      </c>
      <c r="C86" s="44" t="s">
        <v>129</v>
      </c>
      <c r="D86" s="44" t="s">
        <v>129</v>
      </c>
      <c r="E86" s="104">
        <f t="shared" si="28"/>
        <v>119.09766008126664</v>
      </c>
      <c r="F86" s="104">
        <f t="shared" si="29"/>
        <v>125.75824826157715</v>
      </c>
      <c r="G86" s="90">
        <f t="shared" si="30"/>
        <v>19.097660081266639</v>
      </c>
      <c r="H86" s="133">
        <f t="shared" si="30"/>
        <v>25.758248261577151</v>
      </c>
      <c r="I86" s="141">
        <v>84</v>
      </c>
    </row>
    <row r="87" spans="1:9" ht="15.75" x14ac:dyDescent="0.25">
      <c r="A87" s="69" t="s">
        <v>84</v>
      </c>
      <c r="B87" s="48">
        <v>88.571428571428584</v>
      </c>
      <c r="C87" s="44" t="s">
        <v>129</v>
      </c>
      <c r="D87" s="44" t="s">
        <v>129</v>
      </c>
      <c r="E87" s="104">
        <f t="shared" si="28"/>
        <v>111.6915871014232</v>
      </c>
      <c r="F87" s="104">
        <f t="shared" si="29"/>
        <v>117.93798744531104</v>
      </c>
      <c r="G87" s="90">
        <f t="shared" si="30"/>
        <v>11.691587101423195</v>
      </c>
      <c r="H87" s="133">
        <f t="shared" si="30"/>
        <v>17.937987445311038</v>
      </c>
      <c r="I87" s="141">
        <v>85</v>
      </c>
    </row>
    <row r="88" spans="1:9" ht="15.75" x14ac:dyDescent="0.25">
      <c r="A88" s="69" t="s">
        <v>85</v>
      </c>
      <c r="B88" s="48">
        <v>78.571428571428569</v>
      </c>
      <c r="C88" s="46" t="s">
        <v>130</v>
      </c>
      <c r="D88" s="44" t="s">
        <v>129</v>
      </c>
      <c r="E88" s="104">
        <f t="shared" si="28"/>
        <v>99.081246622230239</v>
      </c>
      <c r="F88" s="104">
        <f t="shared" si="29"/>
        <v>104.62240821761462</v>
      </c>
      <c r="G88" s="90">
        <f t="shared" si="30"/>
        <v>-0.91875337776976096</v>
      </c>
      <c r="H88" s="133">
        <f t="shared" si="30"/>
        <v>4.6224082176146197</v>
      </c>
      <c r="I88" s="141">
        <v>86</v>
      </c>
    </row>
    <row r="89" spans="1:9" ht="15.75" x14ac:dyDescent="0.25">
      <c r="A89" s="69" t="s">
        <v>86</v>
      </c>
      <c r="B89" s="48">
        <v>55.882352941176464</v>
      </c>
      <c r="C89" s="46" t="s">
        <v>130</v>
      </c>
      <c r="D89" s="46" t="s">
        <v>130</v>
      </c>
      <c r="E89" s="104">
        <f t="shared" si="28"/>
        <v>70.469549736666409</v>
      </c>
      <c r="F89" s="104">
        <f t="shared" si="29"/>
        <v>74.410589801832856</v>
      </c>
      <c r="G89" s="90">
        <f t="shared" si="30"/>
        <v>-29.530450263333591</v>
      </c>
      <c r="H89" s="133">
        <f t="shared" si="30"/>
        <v>-25.589410198167144</v>
      </c>
      <c r="I89" s="141">
        <v>87</v>
      </c>
    </row>
    <row r="90" spans="1:9" ht="15.75" x14ac:dyDescent="0.25">
      <c r="A90" s="69" t="s">
        <v>87</v>
      </c>
      <c r="B90" s="48">
        <v>89.473684210526315</v>
      </c>
      <c r="C90" s="44" t="s">
        <v>129</v>
      </c>
      <c r="D90" s="44" t="s">
        <v>129</v>
      </c>
      <c r="E90" s="104">
        <f t="shared" si="28"/>
        <v>112.82936218225261</v>
      </c>
      <c r="F90" s="104">
        <f t="shared" si="29"/>
        <v>119.13939308991522</v>
      </c>
      <c r="G90" s="90">
        <f t="shared" si="30"/>
        <v>12.829362182252609</v>
      </c>
      <c r="H90" s="133">
        <f t="shared" si="30"/>
        <v>19.139393089915217</v>
      </c>
      <c r="I90" s="141">
        <v>88</v>
      </c>
    </row>
    <row r="91" spans="1:9" ht="15.75" x14ac:dyDescent="0.25">
      <c r="A91" s="69" t="s">
        <v>88</v>
      </c>
      <c r="B91" s="48">
        <v>68.965517241379317</v>
      </c>
      <c r="C91" s="46" t="s">
        <v>130</v>
      </c>
      <c r="D91" s="46" t="s">
        <v>130</v>
      </c>
      <c r="E91" s="104">
        <f t="shared" si="28"/>
        <v>86.967865373744417</v>
      </c>
      <c r="F91" s="104">
        <f t="shared" si="29"/>
        <v>91.831580880664873</v>
      </c>
      <c r="G91" s="90">
        <f t="shared" si="30"/>
        <v>-13.032134626255583</v>
      </c>
      <c r="H91" s="133">
        <f t="shared" si="30"/>
        <v>-8.1684191193351268</v>
      </c>
      <c r="I91" s="141">
        <v>89</v>
      </c>
    </row>
    <row r="92" spans="1:9" ht="15.75" x14ac:dyDescent="0.25">
      <c r="A92" s="69" t="s">
        <v>89</v>
      </c>
      <c r="B92" s="47">
        <v>0</v>
      </c>
      <c r="C92" s="77" t="s">
        <v>134</v>
      </c>
      <c r="D92" s="77" t="s">
        <v>134</v>
      </c>
      <c r="E92" s="88" t="s">
        <v>134</v>
      </c>
      <c r="F92" s="88" t="s">
        <v>134</v>
      </c>
      <c r="G92" s="88"/>
      <c r="H92" s="139"/>
      <c r="I92" s="141">
        <v>90</v>
      </c>
    </row>
    <row r="93" spans="1:9" ht="15.75" x14ac:dyDescent="0.25">
      <c r="A93" s="69" t="s">
        <v>90</v>
      </c>
      <c r="B93" s="47">
        <v>0</v>
      </c>
      <c r="C93" s="77" t="s">
        <v>134</v>
      </c>
      <c r="D93" s="77" t="s">
        <v>134</v>
      </c>
      <c r="E93" s="88" t="s">
        <v>134</v>
      </c>
      <c r="F93" s="88" t="s">
        <v>134</v>
      </c>
      <c r="G93" s="88"/>
      <c r="H93" s="139"/>
      <c r="I93" s="141">
        <v>91</v>
      </c>
    </row>
    <row r="94" spans="1:9" ht="15.75" x14ac:dyDescent="0.25">
      <c r="A94" s="69" t="s">
        <v>91</v>
      </c>
      <c r="B94" s="48">
        <v>83.333333333333343</v>
      </c>
      <c r="C94" s="44" t="s">
        <v>129</v>
      </c>
      <c r="D94" s="44" t="s">
        <v>129</v>
      </c>
      <c r="E94" s="104">
        <f>B94/79.3*100</f>
        <v>105.08617065994117</v>
      </c>
      <c r="F94" s="104">
        <f>(B94/75.1)*100</f>
        <v>110.9631602308034</v>
      </c>
      <c r="G94" s="90">
        <f>E94-100</f>
        <v>5.0861706599411747</v>
      </c>
      <c r="H94" s="133">
        <f>F94-100</f>
        <v>10.963160230803396</v>
      </c>
      <c r="I94" s="141">
        <v>92</v>
      </c>
    </row>
    <row r="95" spans="1:9" ht="16.5" thickBot="1" x14ac:dyDescent="0.3">
      <c r="A95" s="96" t="s">
        <v>92</v>
      </c>
      <c r="B95" s="97">
        <v>42.857142857142854</v>
      </c>
      <c r="C95" s="98" t="s">
        <v>130</v>
      </c>
      <c r="D95" s="98" t="s">
        <v>130</v>
      </c>
      <c r="E95" s="128">
        <f>B95/79.3*100</f>
        <v>54.0443163393983</v>
      </c>
      <c r="F95" s="128">
        <f>(B95/75.1)*100</f>
        <v>57.066768118698874</v>
      </c>
      <c r="G95" s="99">
        <f>E95-100</f>
        <v>-45.9556836606017</v>
      </c>
      <c r="H95" s="140">
        <f>F95-100</f>
        <v>-42.933231881301126</v>
      </c>
      <c r="I95" s="142">
        <v>93</v>
      </c>
    </row>
    <row r="98" spans="1:30" ht="13.5" thickBot="1" x14ac:dyDescent="0.25"/>
    <row r="99" spans="1:30" ht="16.5" thickBot="1" x14ac:dyDescent="0.3">
      <c r="A99" s="293" t="s">
        <v>141</v>
      </c>
      <c r="B99" s="294"/>
      <c r="C99" s="294"/>
      <c r="D99" s="294"/>
      <c r="E99" s="294"/>
      <c r="F99" s="294"/>
      <c r="G99" s="294"/>
      <c r="H99" s="295"/>
    </row>
    <row r="100" spans="1:30" ht="63.75" thickBot="1" x14ac:dyDescent="0.25">
      <c r="A100" s="109"/>
      <c r="B100" s="110" t="s">
        <v>142</v>
      </c>
      <c r="C100" s="110" t="s">
        <v>131</v>
      </c>
      <c r="D100" s="111" t="s">
        <v>128</v>
      </c>
      <c r="E100" s="110" t="s">
        <v>143</v>
      </c>
      <c r="F100" s="110" t="s">
        <v>144</v>
      </c>
      <c r="G100" s="110" t="s">
        <v>138</v>
      </c>
      <c r="H100" s="143" t="s">
        <v>139</v>
      </c>
      <c r="I100" s="144" t="s">
        <v>149</v>
      </c>
      <c r="K100" s="296" t="s">
        <v>227</v>
      </c>
      <c r="L100" s="297"/>
      <c r="M100" s="297"/>
      <c r="N100" s="297"/>
      <c r="O100" s="297"/>
      <c r="P100" s="297"/>
      <c r="Q100" s="297"/>
      <c r="R100" s="297"/>
      <c r="S100" s="297"/>
      <c r="T100" s="297"/>
      <c r="U100" s="297"/>
      <c r="V100" s="297"/>
      <c r="W100" s="297"/>
      <c r="X100" s="297"/>
      <c r="Y100" s="297"/>
      <c r="Z100" s="297"/>
      <c r="AA100" s="297"/>
      <c r="AB100" s="297"/>
      <c r="AC100" s="297"/>
      <c r="AD100" s="298"/>
    </row>
    <row r="101" spans="1:30" ht="16.5" thickBot="1" x14ac:dyDescent="0.3">
      <c r="A101" s="152" t="s">
        <v>11</v>
      </c>
      <c r="B101" s="153">
        <v>23.29443447037702</v>
      </c>
      <c r="C101" s="62"/>
      <c r="D101" s="160">
        <v>23.29443447037702</v>
      </c>
      <c r="E101" s="100"/>
      <c r="F101" s="63"/>
      <c r="G101" s="100"/>
      <c r="H101" s="131"/>
      <c r="I101" s="141">
        <v>1</v>
      </c>
      <c r="K101" s="299" t="s">
        <v>226</v>
      </c>
      <c r="L101" s="300"/>
      <c r="M101" s="300"/>
      <c r="N101" s="300"/>
      <c r="O101" s="300"/>
      <c r="P101" s="300"/>
      <c r="Q101" s="300"/>
      <c r="R101" s="300"/>
      <c r="S101" s="300"/>
      <c r="T101" s="300"/>
      <c r="U101" s="300"/>
      <c r="V101" s="300"/>
      <c r="W101" s="300"/>
      <c r="X101" s="300"/>
      <c r="Y101" s="300"/>
      <c r="Z101" s="300"/>
      <c r="AA101" s="300"/>
      <c r="AB101" s="300"/>
      <c r="AC101" s="300"/>
      <c r="AD101" s="301"/>
    </row>
    <row r="102" spans="1:30" ht="33" thickTop="1" thickBot="1" x14ac:dyDescent="0.3">
      <c r="A102" s="112" t="s">
        <v>13</v>
      </c>
      <c r="B102" s="113">
        <v>18.243243243243242</v>
      </c>
      <c r="C102" s="114">
        <v>18.243243243243242</v>
      </c>
      <c r="D102" s="46" t="s">
        <v>130</v>
      </c>
      <c r="E102" s="107"/>
      <c r="F102" s="87"/>
      <c r="G102" s="107"/>
      <c r="H102" s="132"/>
      <c r="I102" s="141">
        <v>2</v>
      </c>
      <c r="K102" s="302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  <c r="X102" s="303"/>
      <c r="Y102" s="303"/>
      <c r="Z102" s="303"/>
      <c r="AA102" s="303"/>
      <c r="AB102" s="303"/>
      <c r="AC102" s="303"/>
      <c r="AD102" s="304"/>
    </row>
    <row r="103" spans="1:30" ht="15.75" x14ac:dyDescent="0.25">
      <c r="A103" s="43" t="s">
        <v>14</v>
      </c>
      <c r="B103" s="45">
        <v>40.909090909090907</v>
      </c>
      <c r="C103" s="44" t="s">
        <v>129</v>
      </c>
      <c r="D103" s="44" t="s">
        <v>129</v>
      </c>
      <c r="E103" s="103">
        <f t="shared" ref="E103:E111" si="31">B103/18.2*100</f>
        <v>224.77522477522479</v>
      </c>
      <c r="F103" s="104">
        <f t="shared" ref="F103:F111" si="32">(B103/23.3)*100</f>
        <v>175.57549746390947</v>
      </c>
      <c r="G103" s="89">
        <f t="shared" ref="G103:G111" si="33">E103-100</f>
        <v>124.77522477522479</v>
      </c>
      <c r="H103" s="133">
        <f t="shared" ref="H103:H111" si="34">F103-100</f>
        <v>75.575497463909471</v>
      </c>
      <c r="I103" s="141">
        <v>3</v>
      </c>
    </row>
    <row r="104" spans="1:30" ht="15.75" x14ac:dyDescent="0.25">
      <c r="A104" s="43" t="s">
        <v>15</v>
      </c>
      <c r="B104" s="45">
        <v>18.75</v>
      </c>
      <c r="C104" s="44" t="s">
        <v>129</v>
      </c>
      <c r="D104" s="46" t="s">
        <v>130</v>
      </c>
      <c r="E104" s="103">
        <f t="shared" si="31"/>
        <v>103.02197802197803</v>
      </c>
      <c r="F104" s="104">
        <f t="shared" si="32"/>
        <v>80.472103004291839</v>
      </c>
      <c r="G104" s="89">
        <f t="shared" si="33"/>
        <v>3.021978021978029</v>
      </c>
      <c r="H104" s="133">
        <f t="shared" si="34"/>
        <v>-19.527896995708161</v>
      </c>
      <c r="I104" s="141">
        <v>4</v>
      </c>
    </row>
    <row r="105" spans="1:30" ht="15.75" x14ac:dyDescent="0.25">
      <c r="A105" s="43" t="s">
        <v>16</v>
      </c>
      <c r="B105" s="45">
        <v>23.80952380952381</v>
      </c>
      <c r="C105" s="44" t="s">
        <v>129</v>
      </c>
      <c r="D105" s="44" t="s">
        <v>129</v>
      </c>
      <c r="E105" s="103">
        <f t="shared" si="31"/>
        <v>130.82155939298795</v>
      </c>
      <c r="F105" s="104">
        <f t="shared" si="32"/>
        <v>102.18679746576743</v>
      </c>
      <c r="G105" s="89">
        <f t="shared" si="33"/>
        <v>30.82155939298795</v>
      </c>
      <c r="H105" s="133">
        <f t="shared" si="34"/>
        <v>2.1867974657674267</v>
      </c>
      <c r="I105" s="141">
        <v>5</v>
      </c>
    </row>
    <row r="106" spans="1:30" ht="15.75" x14ac:dyDescent="0.25">
      <c r="A106" s="43" t="s">
        <v>17</v>
      </c>
      <c r="B106" s="45">
        <v>8.8235294117647047</v>
      </c>
      <c r="C106" s="46" t="s">
        <v>130</v>
      </c>
      <c r="D106" s="46" t="s">
        <v>130</v>
      </c>
      <c r="E106" s="103">
        <f t="shared" si="31"/>
        <v>48.480930833872002</v>
      </c>
      <c r="F106" s="104">
        <f t="shared" si="32"/>
        <v>37.869224943196159</v>
      </c>
      <c r="G106" s="89">
        <f t="shared" si="33"/>
        <v>-51.519069166127998</v>
      </c>
      <c r="H106" s="133">
        <f t="shared" si="34"/>
        <v>-62.130775056803841</v>
      </c>
      <c r="I106" s="141">
        <v>6</v>
      </c>
    </row>
    <row r="107" spans="1:30" ht="15.75" x14ac:dyDescent="0.25">
      <c r="A107" s="43" t="s">
        <v>18</v>
      </c>
      <c r="B107" s="45">
        <v>22.222222222222221</v>
      </c>
      <c r="C107" s="44" t="s">
        <v>129</v>
      </c>
      <c r="D107" s="46" t="s">
        <v>130</v>
      </c>
      <c r="E107" s="103">
        <f t="shared" si="31"/>
        <v>122.10012210012211</v>
      </c>
      <c r="F107" s="104">
        <f t="shared" si="32"/>
        <v>95.374344301382919</v>
      </c>
      <c r="G107" s="89">
        <f t="shared" si="33"/>
        <v>22.100122100122107</v>
      </c>
      <c r="H107" s="133">
        <f t="shared" si="34"/>
        <v>-4.6256556986170807</v>
      </c>
      <c r="I107" s="141">
        <v>7</v>
      </c>
    </row>
    <row r="108" spans="1:30" ht="15.75" x14ac:dyDescent="0.25">
      <c r="A108" s="43" t="s">
        <v>19</v>
      </c>
      <c r="B108" s="45">
        <v>7.6923076923076916</v>
      </c>
      <c r="C108" s="46" t="s">
        <v>130</v>
      </c>
      <c r="D108" s="46" t="s">
        <v>130</v>
      </c>
      <c r="E108" s="103">
        <f t="shared" si="31"/>
        <v>42.265426880811496</v>
      </c>
      <c r="F108" s="104">
        <f t="shared" si="32"/>
        <v>33.014196104324853</v>
      </c>
      <c r="G108" s="89">
        <f t="shared" si="33"/>
        <v>-57.734573119188504</v>
      </c>
      <c r="H108" s="133">
        <f t="shared" si="34"/>
        <v>-66.985803895675147</v>
      </c>
      <c r="I108" s="141">
        <v>8</v>
      </c>
    </row>
    <row r="109" spans="1:30" ht="15.75" x14ac:dyDescent="0.25">
      <c r="A109" s="43" t="s">
        <v>20</v>
      </c>
      <c r="B109" s="45">
        <v>20.689655172413794</v>
      </c>
      <c r="C109" s="44" t="s">
        <v>129</v>
      </c>
      <c r="D109" s="46" t="s">
        <v>130</v>
      </c>
      <c r="E109" s="103">
        <f t="shared" si="31"/>
        <v>113.67942402425162</v>
      </c>
      <c r="F109" s="104">
        <f t="shared" si="32"/>
        <v>88.796803315080652</v>
      </c>
      <c r="G109" s="89">
        <f t="shared" si="33"/>
        <v>13.679424024251617</v>
      </c>
      <c r="H109" s="133">
        <f t="shared" si="34"/>
        <v>-11.203196684919348</v>
      </c>
      <c r="I109" s="141">
        <v>9</v>
      </c>
    </row>
    <row r="110" spans="1:30" ht="15.75" x14ac:dyDescent="0.25">
      <c r="A110" s="43" t="s">
        <v>21</v>
      </c>
      <c r="B110" s="45">
        <v>15.15151515151515</v>
      </c>
      <c r="C110" s="46" t="s">
        <v>130</v>
      </c>
      <c r="D110" s="46" t="s">
        <v>130</v>
      </c>
      <c r="E110" s="103">
        <f t="shared" si="31"/>
        <v>83.25008325008325</v>
      </c>
      <c r="F110" s="104">
        <f t="shared" si="32"/>
        <v>65.02796202367017</v>
      </c>
      <c r="G110" s="89">
        <f t="shared" si="33"/>
        <v>-16.74991674991675</v>
      </c>
      <c r="H110" s="133">
        <f t="shared" si="34"/>
        <v>-34.97203797632983</v>
      </c>
      <c r="I110" s="141">
        <v>10</v>
      </c>
    </row>
    <row r="111" spans="1:30" ht="15.75" x14ac:dyDescent="0.25">
      <c r="A111" s="43" t="s">
        <v>22</v>
      </c>
      <c r="B111" s="45">
        <v>10</v>
      </c>
      <c r="C111" s="46" t="s">
        <v>130</v>
      </c>
      <c r="D111" s="46" t="s">
        <v>130</v>
      </c>
      <c r="E111" s="103">
        <f t="shared" si="31"/>
        <v>54.945054945054949</v>
      </c>
      <c r="F111" s="104">
        <f t="shared" si="32"/>
        <v>42.918454935622321</v>
      </c>
      <c r="G111" s="89">
        <f t="shared" si="33"/>
        <v>-45.054945054945051</v>
      </c>
      <c r="H111" s="133">
        <f t="shared" si="34"/>
        <v>-57.081545064377679</v>
      </c>
      <c r="I111" s="141">
        <v>11</v>
      </c>
    </row>
    <row r="112" spans="1:30" ht="15.75" x14ac:dyDescent="0.25">
      <c r="A112" s="43" t="s">
        <v>23</v>
      </c>
      <c r="B112" s="47">
        <v>100</v>
      </c>
      <c r="C112" s="77" t="s">
        <v>145</v>
      </c>
      <c r="D112" s="77" t="s">
        <v>145</v>
      </c>
      <c r="E112" s="77" t="s">
        <v>145</v>
      </c>
      <c r="F112" s="77" t="s">
        <v>145</v>
      </c>
      <c r="G112" s="86"/>
      <c r="H112" s="134"/>
      <c r="I112" s="141">
        <v>12</v>
      </c>
    </row>
    <row r="113" spans="1:9" ht="15.75" x14ac:dyDescent="0.25">
      <c r="A113" s="43" t="s">
        <v>24</v>
      </c>
      <c r="B113" s="45">
        <v>11.111111111111111</v>
      </c>
      <c r="C113" s="46" t="s">
        <v>130</v>
      </c>
      <c r="D113" s="46" t="s">
        <v>130</v>
      </c>
      <c r="E113" s="103">
        <f t="shared" ref="E113:E119" si="35">B113/18.2*100</f>
        <v>61.050061050061053</v>
      </c>
      <c r="F113" s="104">
        <f t="shared" ref="F113:F119" si="36">(B113/23.3)*100</f>
        <v>47.68717215069146</v>
      </c>
      <c r="G113" s="89">
        <f t="shared" ref="G113:H119" si="37">E113-100</f>
        <v>-38.949938949938947</v>
      </c>
      <c r="H113" s="133">
        <f t="shared" si="37"/>
        <v>-52.31282784930854</v>
      </c>
      <c r="I113" s="141">
        <v>13</v>
      </c>
    </row>
    <row r="114" spans="1:9" ht="15.75" x14ac:dyDescent="0.25">
      <c r="A114" s="43" t="s">
        <v>25</v>
      </c>
      <c r="B114" s="45">
        <v>13.793103448275863</v>
      </c>
      <c r="C114" s="46" t="s">
        <v>130</v>
      </c>
      <c r="D114" s="46" t="s">
        <v>130</v>
      </c>
      <c r="E114" s="103">
        <f t="shared" si="35"/>
        <v>75.786282682834411</v>
      </c>
      <c r="F114" s="104">
        <f t="shared" si="36"/>
        <v>59.197868876720442</v>
      </c>
      <c r="G114" s="89">
        <f t="shared" si="37"/>
        <v>-24.213717317165589</v>
      </c>
      <c r="H114" s="133">
        <f t="shared" si="37"/>
        <v>-40.802131123279558</v>
      </c>
      <c r="I114" s="141">
        <v>14</v>
      </c>
    </row>
    <row r="115" spans="1:9" ht="15.75" x14ac:dyDescent="0.25">
      <c r="A115" s="43" t="s">
        <v>26</v>
      </c>
      <c r="B115" s="45">
        <v>7.4074074074074066</v>
      </c>
      <c r="C115" s="46" t="s">
        <v>130</v>
      </c>
      <c r="D115" s="46" t="s">
        <v>130</v>
      </c>
      <c r="E115" s="103">
        <f t="shared" si="35"/>
        <v>40.700040700040695</v>
      </c>
      <c r="F115" s="104">
        <f t="shared" si="36"/>
        <v>31.791448100460972</v>
      </c>
      <c r="G115" s="89">
        <f t="shared" si="37"/>
        <v>-59.299959299959305</v>
      </c>
      <c r="H115" s="133">
        <f t="shared" si="37"/>
        <v>-68.208551899539032</v>
      </c>
      <c r="I115" s="141">
        <v>15</v>
      </c>
    </row>
    <row r="116" spans="1:9" ht="15.75" x14ac:dyDescent="0.25">
      <c r="A116" s="43" t="s">
        <v>27</v>
      </c>
      <c r="B116" s="45">
        <v>23.333333333333336</v>
      </c>
      <c r="C116" s="44" t="s">
        <v>129</v>
      </c>
      <c r="D116" s="146" t="s">
        <v>150</v>
      </c>
      <c r="E116" s="103">
        <f t="shared" si="35"/>
        <v>128.2051282051282</v>
      </c>
      <c r="F116" s="104">
        <f t="shared" si="36"/>
        <v>100.14306151645209</v>
      </c>
      <c r="G116" s="89">
        <f t="shared" si="37"/>
        <v>28.205128205128204</v>
      </c>
      <c r="H116" s="133">
        <f t="shared" si="37"/>
        <v>0.14306151645209297</v>
      </c>
      <c r="I116" s="141">
        <v>16</v>
      </c>
    </row>
    <row r="117" spans="1:9" ht="15.75" x14ac:dyDescent="0.25">
      <c r="A117" s="43" t="s">
        <v>28</v>
      </c>
      <c r="B117" s="45">
        <v>26.19047619047619</v>
      </c>
      <c r="C117" s="44" t="s">
        <v>129</v>
      </c>
      <c r="D117" s="44" t="s">
        <v>129</v>
      </c>
      <c r="E117" s="103">
        <f t="shared" si="35"/>
        <v>143.90371533228677</v>
      </c>
      <c r="F117" s="104">
        <f t="shared" si="36"/>
        <v>112.40547721234415</v>
      </c>
      <c r="G117" s="89">
        <f t="shared" si="37"/>
        <v>43.903715332286765</v>
      </c>
      <c r="H117" s="133">
        <f t="shared" si="37"/>
        <v>12.405477212344152</v>
      </c>
      <c r="I117" s="141">
        <v>17</v>
      </c>
    </row>
    <row r="118" spans="1:9" ht="15.75" x14ac:dyDescent="0.25">
      <c r="A118" s="43" t="s">
        <v>29</v>
      </c>
      <c r="B118" s="45">
        <v>26.923076923076923</v>
      </c>
      <c r="C118" s="44" t="s">
        <v>129</v>
      </c>
      <c r="D118" s="44" t="s">
        <v>129</v>
      </c>
      <c r="E118" s="103">
        <f t="shared" si="35"/>
        <v>147.92899408284023</v>
      </c>
      <c r="F118" s="104">
        <f t="shared" si="36"/>
        <v>115.54968636513701</v>
      </c>
      <c r="G118" s="89">
        <f t="shared" si="37"/>
        <v>47.928994082840234</v>
      </c>
      <c r="H118" s="133">
        <f t="shared" si="37"/>
        <v>15.549686365137006</v>
      </c>
      <c r="I118" s="141">
        <v>18</v>
      </c>
    </row>
    <row r="119" spans="1:9" ht="16.5" thickBot="1" x14ac:dyDescent="0.3">
      <c r="A119" s="59" t="s">
        <v>30</v>
      </c>
      <c r="B119" s="57">
        <v>15.789473684210526</v>
      </c>
      <c r="C119" s="115" t="s">
        <v>130</v>
      </c>
      <c r="D119" s="115" t="s">
        <v>130</v>
      </c>
      <c r="E119" s="103">
        <f t="shared" si="35"/>
        <v>86.755349913244658</v>
      </c>
      <c r="F119" s="104">
        <f t="shared" si="36"/>
        <v>67.765981477298382</v>
      </c>
      <c r="G119" s="91">
        <f t="shared" si="37"/>
        <v>-13.244650086755342</v>
      </c>
      <c r="H119" s="135">
        <f t="shared" si="37"/>
        <v>-32.234018522701618</v>
      </c>
      <c r="I119" s="141">
        <v>19</v>
      </c>
    </row>
    <row r="120" spans="1:9" ht="32.25" thickTop="1" x14ac:dyDescent="0.25">
      <c r="A120" s="112" t="s">
        <v>31</v>
      </c>
      <c r="B120" s="155">
        <v>19.209039548022599</v>
      </c>
      <c r="C120" s="155">
        <v>19.209039548022599</v>
      </c>
      <c r="D120" s="46" t="s">
        <v>130</v>
      </c>
      <c r="E120" s="93"/>
      <c r="F120" s="93"/>
      <c r="G120" s="93"/>
      <c r="H120" s="136"/>
      <c r="I120" s="141">
        <v>20</v>
      </c>
    </row>
    <row r="121" spans="1:9" ht="15.75" x14ac:dyDescent="0.25">
      <c r="A121" s="42" t="s">
        <v>32</v>
      </c>
      <c r="B121" s="45">
        <v>11.111111111111111</v>
      </c>
      <c r="C121" s="46" t="s">
        <v>130</v>
      </c>
      <c r="D121" s="46" t="s">
        <v>130</v>
      </c>
      <c r="E121" s="104">
        <f t="shared" ref="E121:E126" si="38">B121/19.2*100</f>
        <v>57.870370370370374</v>
      </c>
      <c r="F121" s="104">
        <f t="shared" ref="F121:F126" si="39">(B121/23.3)*100</f>
        <v>47.68717215069146</v>
      </c>
      <c r="G121" s="90">
        <f t="shared" ref="G121:H126" si="40">E121-100</f>
        <v>-42.129629629629626</v>
      </c>
      <c r="H121" s="133">
        <f t="shared" si="40"/>
        <v>-52.31282784930854</v>
      </c>
      <c r="I121" s="141">
        <v>21</v>
      </c>
    </row>
    <row r="122" spans="1:9" ht="15.75" x14ac:dyDescent="0.25">
      <c r="A122" s="42" t="s">
        <v>33</v>
      </c>
      <c r="B122" s="45">
        <v>30</v>
      </c>
      <c r="C122" s="44" t="s">
        <v>129</v>
      </c>
      <c r="D122" s="44" t="s">
        <v>129</v>
      </c>
      <c r="E122" s="104">
        <f t="shared" si="38"/>
        <v>156.25</v>
      </c>
      <c r="F122" s="104">
        <f t="shared" si="39"/>
        <v>128.75536480686696</v>
      </c>
      <c r="G122" s="90">
        <f t="shared" si="40"/>
        <v>56.25</v>
      </c>
      <c r="H122" s="133">
        <f t="shared" si="40"/>
        <v>28.755364806866964</v>
      </c>
      <c r="I122" s="141">
        <v>22</v>
      </c>
    </row>
    <row r="123" spans="1:9" ht="15.75" x14ac:dyDescent="0.25">
      <c r="A123" s="42" t="s">
        <v>133</v>
      </c>
      <c r="B123" s="45">
        <f>AVERAGE(B124:B125)</f>
        <v>38.46153846153846</v>
      </c>
      <c r="C123" s="44" t="s">
        <v>129</v>
      </c>
      <c r="D123" s="44" t="s">
        <v>129</v>
      </c>
      <c r="E123" s="104">
        <f t="shared" si="38"/>
        <v>200.32051282051282</v>
      </c>
      <c r="F123" s="104">
        <f t="shared" si="39"/>
        <v>165.07098052162428</v>
      </c>
      <c r="G123" s="90">
        <f t="shared" si="40"/>
        <v>100.32051282051282</v>
      </c>
      <c r="H123" s="133">
        <f t="shared" si="40"/>
        <v>65.070980521624278</v>
      </c>
      <c r="I123" s="141">
        <v>23</v>
      </c>
    </row>
    <row r="124" spans="1:9" ht="15.75" x14ac:dyDescent="0.25">
      <c r="A124" s="54" t="s">
        <v>95</v>
      </c>
      <c r="B124" s="45">
        <v>50</v>
      </c>
      <c r="C124" s="44" t="s">
        <v>129</v>
      </c>
      <c r="D124" s="44" t="s">
        <v>129</v>
      </c>
      <c r="E124" s="104">
        <f t="shared" si="38"/>
        <v>260.41666666666669</v>
      </c>
      <c r="F124" s="104">
        <f t="shared" si="39"/>
        <v>214.59227467811158</v>
      </c>
      <c r="G124" s="90">
        <f t="shared" si="40"/>
        <v>160.41666666666669</v>
      </c>
      <c r="H124" s="133">
        <f t="shared" si="40"/>
        <v>114.59227467811158</v>
      </c>
      <c r="I124" s="141">
        <v>24</v>
      </c>
    </row>
    <row r="125" spans="1:9" ht="30.75" x14ac:dyDescent="0.25">
      <c r="A125" s="54" t="s">
        <v>106</v>
      </c>
      <c r="B125" s="45">
        <v>26.923076923076923</v>
      </c>
      <c r="C125" s="44" t="s">
        <v>129</v>
      </c>
      <c r="D125" s="44" t="s">
        <v>129</v>
      </c>
      <c r="E125" s="104">
        <f t="shared" si="38"/>
        <v>140.22435897435898</v>
      </c>
      <c r="F125" s="104">
        <f t="shared" si="39"/>
        <v>115.54968636513701</v>
      </c>
      <c r="G125" s="90">
        <f t="shared" si="40"/>
        <v>40.224358974358978</v>
      </c>
      <c r="H125" s="133">
        <f t="shared" si="40"/>
        <v>15.549686365137006</v>
      </c>
      <c r="I125" s="141">
        <v>25</v>
      </c>
    </row>
    <row r="126" spans="1:9" ht="15.75" x14ac:dyDescent="0.25">
      <c r="A126" s="42" t="s">
        <v>35</v>
      </c>
      <c r="B126" s="45">
        <v>7.1428571428571423</v>
      </c>
      <c r="C126" s="46" t="s">
        <v>130</v>
      </c>
      <c r="D126" s="46" t="s">
        <v>130</v>
      </c>
      <c r="E126" s="104">
        <f t="shared" si="38"/>
        <v>37.202380952380956</v>
      </c>
      <c r="F126" s="104">
        <f t="shared" si="39"/>
        <v>30.656039239730227</v>
      </c>
      <c r="G126" s="90">
        <f t="shared" si="40"/>
        <v>-62.797619047619044</v>
      </c>
      <c r="H126" s="133">
        <f t="shared" si="40"/>
        <v>-69.343960760269766</v>
      </c>
      <c r="I126" s="141">
        <v>26</v>
      </c>
    </row>
    <row r="127" spans="1:9" ht="15.75" x14ac:dyDescent="0.25">
      <c r="A127" s="42" t="s">
        <v>36</v>
      </c>
      <c r="B127" s="47">
        <v>100</v>
      </c>
      <c r="C127" s="77" t="s">
        <v>145</v>
      </c>
      <c r="D127" s="77" t="s">
        <v>145</v>
      </c>
      <c r="E127" s="77" t="s">
        <v>145</v>
      </c>
      <c r="F127" s="77" t="s">
        <v>145</v>
      </c>
      <c r="G127" s="86"/>
      <c r="H127" s="134"/>
      <c r="I127" s="141">
        <v>27</v>
      </c>
    </row>
    <row r="128" spans="1:9" ht="15.75" x14ac:dyDescent="0.25">
      <c r="A128" s="42" t="s">
        <v>37</v>
      </c>
      <c r="B128" s="48">
        <v>5.5555555555555554</v>
      </c>
      <c r="C128" s="46" t="s">
        <v>130</v>
      </c>
      <c r="D128" s="46" t="s">
        <v>130</v>
      </c>
      <c r="E128" s="104">
        <f>B128/19.2*100</f>
        <v>28.935185185185187</v>
      </c>
      <c r="F128" s="104">
        <f>(B128/23.3)*100</f>
        <v>23.84358607534573</v>
      </c>
      <c r="G128" s="90">
        <f t="shared" ref="G128:H131" si="41">E128-100</f>
        <v>-71.06481481481481</v>
      </c>
      <c r="H128" s="151">
        <f t="shared" si="41"/>
        <v>-76.156413924654274</v>
      </c>
      <c r="I128" s="141">
        <v>28</v>
      </c>
    </row>
    <row r="129" spans="1:9" ht="15.75" x14ac:dyDescent="0.25">
      <c r="A129" s="42" t="s">
        <v>38</v>
      </c>
      <c r="B129" s="45">
        <v>70.588235294117638</v>
      </c>
      <c r="C129" s="44" t="s">
        <v>129</v>
      </c>
      <c r="D129" s="44" t="s">
        <v>129</v>
      </c>
      <c r="E129" s="104">
        <f>B129/19.2*100</f>
        <v>367.64705882352939</v>
      </c>
      <c r="F129" s="104">
        <f>(B129/23.3)*100</f>
        <v>302.95379954556927</v>
      </c>
      <c r="G129" s="90">
        <f t="shared" si="41"/>
        <v>267.64705882352939</v>
      </c>
      <c r="H129" s="133">
        <f t="shared" si="41"/>
        <v>202.95379954556927</v>
      </c>
      <c r="I129" s="141">
        <v>29</v>
      </c>
    </row>
    <row r="130" spans="1:9" ht="15.75" x14ac:dyDescent="0.25">
      <c r="A130" s="42" t="s">
        <v>39</v>
      </c>
      <c r="B130" s="45">
        <v>4.5454545454545459</v>
      </c>
      <c r="C130" s="46" t="s">
        <v>130</v>
      </c>
      <c r="D130" s="46" t="s">
        <v>130</v>
      </c>
      <c r="E130" s="104">
        <f>B130/19.2*100</f>
        <v>23.674242424242429</v>
      </c>
      <c r="F130" s="104">
        <f>(B130/23.3)*100</f>
        <v>19.508388607101054</v>
      </c>
      <c r="G130" s="90">
        <f t="shared" si="41"/>
        <v>-76.325757575757564</v>
      </c>
      <c r="H130" s="151">
        <f t="shared" si="41"/>
        <v>-80.491611392898946</v>
      </c>
      <c r="I130" s="141">
        <v>30</v>
      </c>
    </row>
    <row r="131" spans="1:9" ht="16.5" thickBot="1" x14ac:dyDescent="0.3">
      <c r="A131" s="56" t="s">
        <v>40</v>
      </c>
      <c r="B131" s="57">
        <v>7.6923076923076916</v>
      </c>
      <c r="C131" s="115" t="s">
        <v>130</v>
      </c>
      <c r="D131" s="115" t="s">
        <v>130</v>
      </c>
      <c r="E131" s="104">
        <f>B131/19.2*100</f>
        <v>40.064102564102562</v>
      </c>
      <c r="F131" s="104">
        <f>(B131/23.3)*100</f>
        <v>33.014196104324853</v>
      </c>
      <c r="G131" s="92">
        <f t="shared" si="41"/>
        <v>-59.935897435897438</v>
      </c>
      <c r="H131" s="135">
        <f t="shared" si="41"/>
        <v>-66.985803895675147</v>
      </c>
      <c r="I131" s="141">
        <v>31</v>
      </c>
    </row>
    <row r="132" spans="1:9" ht="16.5" thickTop="1" x14ac:dyDescent="0.25">
      <c r="A132" s="112" t="s">
        <v>107</v>
      </c>
      <c r="B132" s="113">
        <v>20.707070707070706</v>
      </c>
      <c r="C132" s="158">
        <v>20.707070707070706</v>
      </c>
      <c r="D132" s="116" t="s">
        <v>130</v>
      </c>
      <c r="E132" s="95"/>
      <c r="F132" s="95"/>
      <c r="G132" s="95"/>
      <c r="H132" s="137"/>
      <c r="I132" s="141">
        <v>32</v>
      </c>
    </row>
    <row r="133" spans="1:9" ht="15.75" x14ac:dyDescent="0.25">
      <c r="A133" s="64" t="s">
        <v>96</v>
      </c>
      <c r="B133" s="48">
        <v>22.222222222222221</v>
      </c>
      <c r="C133" s="44" t="s">
        <v>129</v>
      </c>
      <c r="D133" s="46" t="s">
        <v>130</v>
      </c>
      <c r="E133" s="104">
        <f t="shared" ref="E133:E139" si="42">B133/20.7*100</f>
        <v>107.35373054213635</v>
      </c>
      <c r="F133" s="104">
        <f t="shared" ref="F133:F139" si="43">(B133/23.3)*100</f>
        <v>95.374344301382919</v>
      </c>
      <c r="G133" s="90">
        <f t="shared" ref="G133:H139" si="44">E133-100</f>
        <v>7.353730542136347</v>
      </c>
      <c r="H133" s="133">
        <f t="shared" si="44"/>
        <v>-4.6256556986170807</v>
      </c>
      <c r="I133" s="141">
        <v>33</v>
      </c>
    </row>
    <row r="134" spans="1:9" ht="15.75" x14ac:dyDescent="0.25">
      <c r="A134" s="64" t="s">
        <v>41</v>
      </c>
      <c r="B134" s="48">
        <v>7.1428571428571423</v>
      </c>
      <c r="C134" s="46" t="s">
        <v>130</v>
      </c>
      <c r="D134" s="46" t="s">
        <v>130</v>
      </c>
      <c r="E134" s="104">
        <f t="shared" si="42"/>
        <v>34.506556245686681</v>
      </c>
      <c r="F134" s="104">
        <f t="shared" si="43"/>
        <v>30.656039239730227</v>
      </c>
      <c r="G134" s="90">
        <f t="shared" si="44"/>
        <v>-65.493443754313319</v>
      </c>
      <c r="H134" s="133">
        <f t="shared" si="44"/>
        <v>-69.343960760269766</v>
      </c>
      <c r="I134" s="141">
        <v>34</v>
      </c>
    </row>
    <row r="135" spans="1:9" ht="15.75" x14ac:dyDescent="0.25">
      <c r="A135" s="64" t="s">
        <v>42</v>
      </c>
      <c r="B135" s="48">
        <v>44</v>
      </c>
      <c r="C135" s="44" t="s">
        <v>129</v>
      </c>
      <c r="D135" s="44" t="s">
        <v>129</v>
      </c>
      <c r="E135" s="104">
        <f t="shared" si="42"/>
        <v>212.56038647342996</v>
      </c>
      <c r="F135" s="104">
        <f t="shared" si="43"/>
        <v>188.8412017167382</v>
      </c>
      <c r="G135" s="90">
        <f t="shared" si="44"/>
        <v>112.56038647342996</v>
      </c>
      <c r="H135" s="133">
        <f t="shared" si="44"/>
        <v>88.841201716738198</v>
      </c>
      <c r="I135" s="141">
        <v>35</v>
      </c>
    </row>
    <row r="136" spans="1:9" ht="15.75" x14ac:dyDescent="0.25">
      <c r="A136" s="64" t="s">
        <v>43</v>
      </c>
      <c r="B136" s="48">
        <v>15.909090909090908</v>
      </c>
      <c r="C136" s="46" t="s">
        <v>130</v>
      </c>
      <c r="D136" s="46" t="s">
        <v>130</v>
      </c>
      <c r="E136" s="104">
        <f t="shared" si="42"/>
        <v>76.855511638120333</v>
      </c>
      <c r="F136" s="104">
        <f t="shared" si="43"/>
        <v>68.279360124853682</v>
      </c>
      <c r="G136" s="90">
        <f t="shared" si="44"/>
        <v>-23.144488361879667</v>
      </c>
      <c r="H136" s="133">
        <f t="shared" si="44"/>
        <v>-31.720639875146318</v>
      </c>
      <c r="I136" s="141">
        <v>36</v>
      </c>
    </row>
    <row r="137" spans="1:9" ht="15.75" x14ac:dyDescent="0.25">
      <c r="A137" s="64" t="s">
        <v>44</v>
      </c>
      <c r="B137" s="48">
        <v>15.384615384615383</v>
      </c>
      <c r="C137" s="46" t="s">
        <v>130</v>
      </c>
      <c r="D137" s="46" t="s">
        <v>130</v>
      </c>
      <c r="E137" s="104">
        <f t="shared" si="42"/>
        <v>74.321813452248236</v>
      </c>
      <c r="F137" s="104">
        <f t="shared" si="43"/>
        <v>66.028392208649706</v>
      </c>
      <c r="G137" s="90">
        <f t="shared" si="44"/>
        <v>-25.678186547751764</v>
      </c>
      <c r="H137" s="133">
        <f t="shared" si="44"/>
        <v>-33.971607791350294</v>
      </c>
      <c r="I137" s="141">
        <v>37</v>
      </c>
    </row>
    <row r="138" spans="1:9" ht="15.75" x14ac:dyDescent="0.25">
      <c r="A138" s="64" t="s">
        <v>45</v>
      </c>
      <c r="B138" s="48">
        <v>15.789473684210526</v>
      </c>
      <c r="C138" s="46" t="s">
        <v>130</v>
      </c>
      <c r="D138" s="46" t="s">
        <v>130</v>
      </c>
      <c r="E138" s="104">
        <f t="shared" si="42"/>
        <v>76.277650648360023</v>
      </c>
      <c r="F138" s="104">
        <f t="shared" si="43"/>
        <v>67.765981477298382</v>
      </c>
      <c r="G138" s="90">
        <f t="shared" si="44"/>
        <v>-23.722349351639977</v>
      </c>
      <c r="H138" s="133">
        <f t="shared" si="44"/>
        <v>-32.234018522701618</v>
      </c>
      <c r="I138" s="141">
        <v>38</v>
      </c>
    </row>
    <row r="139" spans="1:9" ht="16.5" thickBot="1" x14ac:dyDescent="0.3">
      <c r="A139" s="65" t="s">
        <v>46</v>
      </c>
      <c r="B139" s="66">
        <v>21.818181818181817</v>
      </c>
      <c r="C139" s="58" t="s">
        <v>129</v>
      </c>
      <c r="D139" s="115" t="s">
        <v>130</v>
      </c>
      <c r="E139" s="104">
        <f t="shared" si="42"/>
        <v>105.40184453227933</v>
      </c>
      <c r="F139" s="104">
        <f t="shared" si="43"/>
        <v>93.640265314085042</v>
      </c>
      <c r="G139" s="90">
        <f t="shared" si="44"/>
        <v>5.4018445322793269</v>
      </c>
      <c r="H139" s="133">
        <f t="shared" si="44"/>
        <v>-6.3597346859149582</v>
      </c>
      <c r="I139" s="141">
        <v>39</v>
      </c>
    </row>
    <row r="140" spans="1:9" ht="32.25" thickTop="1" x14ac:dyDescent="0.25">
      <c r="A140" s="112" t="s">
        <v>47</v>
      </c>
      <c r="B140" s="113">
        <v>27.083333333333336</v>
      </c>
      <c r="C140" s="158">
        <v>27.083333333333336</v>
      </c>
      <c r="D140" s="81" t="s">
        <v>129</v>
      </c>
      <c r="E140" s="106"/>
      <c r="F140" s="106"/>
      <c r="G140" s="94"/>
      <c r="H140" s="138"/>
      <c r="I140" s="141">
        <v>40</v>
      </c>
    </row>
    <row r="141" spans="1:9" ht="15.75" x14ac:dyDescent="0.25">
      <c r="A141" s="67" t="s">
        <v>48</v>
      </c>
      <c r="B141" s="48">
        <v>17.647058823529413</v>
      </c>
      <c r="C141" s="46" t="s">
        <v>130</v>
      </c>
      <c r="D141" s="46" t="s">
        <v>130</v>
      </c>
      <c r="E141" s="104">
        <f t="shared" ref="E141:E147" si="45">B141/27.1*100</f>
        <v>65.118298241805945</v>
      </c>
      <c r="F141" s="104">
        <f t="shared" ref="F141:F147" si="46">(B141/23.3)*100</f>
        <v>75.738449886392317</v>
      </c>
      <c r="G141" s="90">
        <f t="shared" ref="G141:H147" si="47">E141-100</f>
        <v>-34.881701758194055</v>
      </c>
      <c r="H141" s="133">
        <f t="shared" si="47"/>
        <v>-24.261550113607683</v>
      </c>
      <c r="I141" s="141">
        <v>41</v>
      </c>
    </row>
    <row r="142" spans="1:9" ht="15.75" x14ac:dyDescent="0.25">
      <c r="A142" s="67" t="s">
        <v>97</v>
      </c>
      <c r="B142" s="48">
        <v>55.555555555555557</v>
      </c>
      <c r="C142" s="44" t="s">
        <v>129</v>
      </c>
      <c r="D142" s="44" t="s">
        <v>129</v>
      </c>
      <c r="E142" s="104">
        <f t="shared" si="45"/>
        <v>205.00205002050018</v>
      </c>
      <c r="F142" s="104">
        <f t="shared" si="46"/>
        <v>238.43586075345732</v>
      </c>
      <c r="G142" s="90">
        <f t="shared" si="47"/>
        <v>105.00205002050018</v>
      </c>
      <c r="H142" s="133">
        <f t="shared" si="47"/>
        <v>138.43586075345732</v>
      </c>
      <c r="I142" s="141">
        <v>42</v>
      </c>
    </row>
    <row r="143" spans="1:9" ht="15.75" x14ac:dyDescent="0.25">
      <c r="A143" s="67" t="s">
        <v>49</v>
      </c>
      <c r="B143" s="48">
        <v>23.076923076923077</v>
      </c>
      <c r="C143" s="46" t="s">
        <v>130</v>
      </c>
      <c r="D143" s="46" t="s">
        <v>130</v>
      </c>
      <c r="E143" s="104">
        <f t="shared" si="45"/>
        <v>85.154697700823164</v>
      </c>
      <c r="F143" s="104">
        <f t="shared" si="46"/>
        <v>99.042588312974573</v>
      </c>
      <c r="G143" s="90">
        <f t="shared" si="47"/>
        <v>-14.845302299176836</v>
      </c>
      <c r="H143" s="133">
        <f t="shared" si="47"/>
        <v>-0.95741168702542723</v>
      </c>
      <c r="I143" s="141">
        <v>43</v>
      </c>
    </row>
    <row r="144" spans="1:9" ht="15.75" x14ac:dyDescent="0.25">
      <c r="A144" s="67" t="s">
        <v>50</v>
      </c>
      <c r="B144" s="48">
        <v>16.666666666666668</v>
      </c>
      <c r="C144" s="46" t="s">
        <v>130</v>
      </c>
      <c r="D144" s="46" t="s">
        <v>130</v>
      </c>
      <c r="E144" s="104">
        <f t="shared" si="45"/>
        <v>61.500615006150063</v>
      </c>
      <c r="F144" s="104">
        <f t="shared" si="46"/>
        <v>71.530758226037193</v>
      </c>
      <c r="G144" s="90">
        <f t="shared" si="47"/>
        <v>-38.499384993849937</v>
      </c>
      <c r="H144" s="133">
        <f t="shared" si="47"/>
        <v>-28.469241773962807</v>
      </c>
      <c r="I144" s="141">
        <v>44</v>
      </c>
    </row>
    <row r="145" spans="1:11" ht="15.75" x14ac:dyDescent="0.25">
      <c r="A145" s="67" t="s">
        <v>51</v>
      </c>
      <c r="B145" s="48">
        <v>11.111111111111111</v>
      </c>
      <c r="C145" s="46" t="s">
        <v>130</v>
      </c>
      <c r="D145" s="46" t="s">
        <v>130</v>
      </c>
      <c r="E145" s="104">
        <f t="shared" si="45"/>
        <v>41.000410004100033</v>
      </c>
      <c r="F145" s="104">
        <f t="shared" si="46"/>
        <v>47.68717215069146</v>
      </c>
      <c r="G145" s="90">
        <f t="shared" si="47"/>
        <v>-58.999589995899967</v>
      </c>
      <c r="H145" s="133">
        <f t="shared" si="47"/>
        <v>-52.31282784930854</v>
      </c>
      <c r="I145" s="141">
        <v>45</v>
      </c>
    </row>
    <row r="146" spans="1:11" ht="15.75" x14ac:dyDescent="0.25">
      <c r="A146" s="67" t="s">
        <v>98</v>
      </c>
      <c r="B146" s="48">
        <v>11.76470588235294</v>
      </c>
      <c r="C146" s="46" t="s">
        <v>130</v>
      </c>
      <c r="D146" s="46" t="s">
        <v>130</v>
      </c>
      <c r="E146" s="104">
        <f t="shared" si="45"/>
        <v>43.412198827870625</v>
      </c>
      <c r="F146" s="104">
        <f t="shared" si="46"/>
        <v>50.492299924261545</v>
      </c>
      <c r="G146" s="90">
        <f t="shared" si="47"/>
        <v>-56.587801172129375</v>
      </c>
      <c r="H146" s="133">
        <f t="shared" si="47"/>
        <v>-49.507700075738455</v>
      </c>
      <c r="I146" s="141">
        <v>46</v>
      </c>
    </row>
    <row r="147" spans="1:11" ht="16.5" thickBot="1" x14ac:dyDescent="0.3">
      <c r="A147" s="68" t="s">
        <v>52</v>
      </c>
      <c r="B147" s="66">
        <v>51.515151515151516</v>
      </c>
      <c r="C147" s="83" t="s">
        <v>129</v>
      </c>
      <c r="D147" s="83" t="s">
        <v>129</v>
      </c>
      <c r="E147" s="104">
        <f t="shared" si="45"/>
        <v>190.09281001900925</v>
      </c>
      <c r="F147" s="104">
        <f t="shared" si="46"/>
        <v>221.0950708804786</v>
      </c>
      <c r="G147" s="90">
        <f t="shared" si="47"/>
        <v>90.092810019009249</v>
      </c>
      <c r="H147" s="133">
        <f t="shared" si="47"/>
        <v>121.0950708804786</v>
      </c>
      <c r="I147" s="141">
        <v>47</v>
      </c>
    </row>
    <row r="148" spans="1:11" ht="32.25" thickTop="1" x14ac:dyDescent="0.25">
      <c r="A148" s="112" t="s">
        <v>53</v>
      </c>
      <c r="B148" s="113">
        <v>19.92337164750958</v>
      </c>
      <c r="C148" s="159">
        <v>19.92337164750958</v>
      </c>
      <c r="D148" s="108" t="s">
        <v>130</v>
      </c>
      <c r="E148" s="106"/>
      <c r="F148" s="106"/>
      <c r="G148" s="94"/>
      <c r="H148" s="138"/>
      <c r="I148" s="141">
        <v>48</v>
      </c>
    </row>
    <row r="149" spans="1:11" ht="15.75" x14ac:dyDescent="0.25">
      <c r="A149" s="69" t="s">
        <v>54</v>
      </c>
      <c r="B149" s="45">
        <v>14.285714285714286</v>
      </c>
      <c r="C149" s="46" t="s">
        <v>130</v>
      </c>
      <c r="D149" s="46" t="s">
        <v>130</v>
      </c>
      <c r="E149" s="104">
        <f t="shared" ref="E149:E162" si="48">B149/19.9*100</f>
        <v>71.787508973438634</v>
      </c>
      <c r="F149" s="104">
        <f t="shared" ref="F149:F162" si="49">(B149/23.3)*100</f>
        <v>61.312078479460453</v>
      </c>
      <c r="G149" s="90">
        <f t="shared" ref="G149:G162" si="50">E149-100</f>
        <v>-28.212491026561366</v>
      </c>
      <c r="H149" s="133">
        <f t="shared" ref="H149:H162" si="51">F149-100</f>
        <v>-38.687921520539547</v>
      </c>
      <c r="I149" s="141">
        <v>49</v>
      </c>
    </row>
    <row r="150" spans="1:11" ht="15.75" x14ac:dyDescent="0.25">
      <c r="A150" s="69" t="s">
        <v>55</v>
      </c>
      <c r="B150" s="45">
        <v>17.647058823529409</v>
      </c>
      <c r="C150" s="46" t="s">
        <v>130</v>
      </c>
      <c r="D150" s="46" t="s">
        <v>130</v>
      </c>
      <c r="E150" s="104">
        <f t="shared" si="48"/>
        <v>88.678687555424176</v>
      </c>
      <c r="F150" s="104">
        <f t="shared" si="49"/>
        <v>75.738449886392317</v>
      </c>
      <c r="G150" s="90">
        <f t="shared" si="50"/>
        <v>-11.321312444575824</v>
      </c>
      <c r="H150" s="133">
        <f t="shared" si="51"/>
        <v>-24.261550113607683</v>
      </c>
      <c r="I150" s="141">
        <v>50</v>
      </c>
    </row>
    <row r="151" spans="1:11" ht="15.75" x14ac:dyDescent="0.25">
      <c r="A151" s="69" t="s">
        <v>56</v>
      </c>
      <c r="B151" s="45">
        <v>4.3478260869565215</v>
      </c>
      <c r="C151" s="46" t="s">
        <v>130</v>
      </c>
      <c r="D151" s="46" t="s">
        <v>130</v>
      </c>
      <c r="E151" s="104">
        <f t="shared" si="48"/>
        <v>21.848372296263928</v>
      </c>
      <c r="F151" s="104">
        <f t="shared" si="49"/>
        <v>18.660197798096657</v>
      </c>
      <c r="G151" s="90">
        <f t="shared" si="50"/>
        <v>-78.151627703736068</v>
      </c>
      <c r="H151" s="151">
        <f t="shared" si="51"/>
        <v>-81.339802201903339</v>
      </c>
      <c r="I151" s="141">
        <v>51</v>
      </c>
    </row>
    <row r="152" spans="1:11" ht="15.75" x14ac:dyDescent="0.25">
      <c r="A152" s="43" t="s">
        <v>100</v>
      </c>
      <c r="B152" s="45">
        <v>4.4444444444444446</v>
      </c>
      <c r="C152" s="46" t="s">
        <v>130</v>
      </c>
      <c r="D152" s="46" t="s">
        <v>130</v>
      </c>
      <c r="E152" s="104">
        <f t="shared" si="48"/>
        <v>22.333891680625349</v>
      </c>
      <c r="F152" s="104">
        <f t="shared" si="49"/>
        <v>19.074868860276588</v>
      </c>
      <c r="G152" s="90">
        <f t="shared" si="50"/>
        <v>-77.666108319374644</v>
      </c>
      <c r="H152" s="151">
        <f t="shared" si="51"/>
        <v>-80.925131139723419</v>
      </c>
      <c r="I152" s="141">
        <v>52</v>
      </c>
    </row>
    <row r="153" spans="1:11" ht="15.75" x14ac:dyDescent="0.25">
      <c r="A153" s="69" t="s">
        <v>57</v>
      </c>
      <c r="B153" s="45">
        <v>16.666666666666668</v>
      </c>
      <c r="C153" s="46" t="s">
        <v>130</v>
      </c>
      <c r="D153" s="46" t="s">
        <v>130</v>
      </c>
      <c r="E153" s="104">
        <f t="shared" si="48"/>
        <v>83.752093802345073</v>
      </c>
      <c r="F153" s="104">
        <f t="shared" si="49"/>
        <v>71.530758226037193</v>
      </c>
      <c r="G153" s="90">
        <f t="shared" si="50"/>
        <v>-16.247906197654927</v>
      </c>
      <c r="H153" s="133">
        <f t="shared" si="51"/>
        <v>-28.469241773962807</v>
      </c>
      <c r="I153" s="141">
        <v>53</v>
      </c>
    </row>
    <row r="154" spans="1:11" ht="15.75" x14ac:dyDescent="0.25">
      <c r="A154" s="43" t="s">
        <v>99</v>
      </c>
      <c r="B154" s="45">
        <v>19.23076923076923</v>
      </c>
      <c r="C154" s="46" t="s">
        <v>130</v>
      </c>
      <c r="D154" s="46" t="s">
        <v>130</v>
      </c>
      <c r="E154" s="104">
        <f t="shared" si="48"/>
        <v>96.637031310398143</v>
      </c>
      <c r="F154" s="104">
        <f t="shared" si="49"/>
        <v>82.535490260812139</v>
      </c>
      <c r="G154" s="90">
        <f t="shared" si="50"/>
        <v>-3.3629686896018569</v>
      </c>
      <c r="H154" s="133">
        <f t="shared" si="51"/>
        <v>-17.464509739187861</v>
      </c>
      <c r="I154" s="141">
        <v>54</v>
      </c>
    </row>
    <row r="155" spans="1:11" ht="15.75" x14ac:dyDescent="0.25">
      <c r="A155" s="69" t="s">
        <v>58</v>
      </c>
      <c r="B155" s="45">
        <v>56.521739130434781</v>
      </c>
      <c r="C155" s="44" t="s">
        <v>129</v>
      </c>
      <c r="D155" s="44" t="s">
        <v>129</v>
      </c>
      <c r="E155" s="104">
        <f t="shared" si="48"/>
        <v>284.02883985143109</v>
      </c>
      <c r="F155" s="104">
        <f t="shared" si="49"/>
        <v>242.58257137525655</v>
      </c>
      <c r="G155" s="90">
        <f t="shared" si="50"/>
        <v>184.02883985143109</v>
      </c>
      <c r="H155" s="133">
        <f t="shared" si="51"/>
        <v>142.58257137525655</v>
      </c>
      <c r="I155" s="141">
        <v>55</v>
      </c>
      <c r="K155" t="s">
        <v>172</v>
      </c>
    </row>
    <row r="156" spans="1:11" ht="15.75" x14ac:dyDescent="0.25">
      <c r="A156" s="69" t="s">
        <v>59</v>
      </c>
      <c r="B156" s="45">
        <v>13.333333333333332</v>
      </c>
      <c r="C156" s="46" t="s">
        <v>130</v>
      </c>
      <c r="D156" s="46" t="s">
        <v>130</v>
      </c>
      <c r="E156" s="104">
        <f t="shared" si="48"/>
        <v>67.001675041876041</v>
      </c>
      <c r="F156" s="104">
        <f t="shared" si="49"/>
        <v>57.22460658082975</v>
      </c>
      <c r="G156" s="90">
        <f t="shared" si="50"/>
        <v>-32.998324958123959</v>
      </c>
      <c r="H156" s="133">
        <f t="shared" si="51"/>
        <v>-42.77539341917025</v>
      </c>
      <c r="I156" s="141">
        <v>56</v>
      </c>
      <c r="K156" t="s">
        <v>171</v>
      </c>
    </row>
    <row r="157" spans="1:11" ht="15.75" x14ac:dyDescent="0.25">
      <c r="A157" s="69" t="s">
        <v>60</v>
      </c>
      <c r="B157" s="45">
        <v>28.846153846153847</v>
      </c>
      <c r="C157" s="44" t="s">
        <v>129</v>
      </c>
      <c r="D157" s="44" t="s">
        <v>129</v>
      </c>
      <c r="E157" s="104">
        <f t="shared" si="48"/>
        <v>144.95554696559722</v>
      </c>
      <c r="F157" s="104">
        <f t="shared" si="49"/>
        <v>123.80323539121822</v>
      </c>
      <c r="G157" s="90">
        <f t="shared" si="50"/>
        <v>44.955546965597222</v>
      </c>
      <c r="H157" s="133">
        <f t="shared" si="51"/>
        <v>23.803235391218223</v>
      </c>
      <c r="I157" s="141">
        <v>57</v>
      </c>
      <c r="K157" t="s">
        <v>170</v>
      </c>
    </row>
    <row r="158" spans="1:11" ht="15.75" x14ac:dyDescent="0.25">
      <c r="A158" s="69" t="s">
        <v>61</v>
      </c>
      <c r="B158" s="48">
        <v>30.952380952380953</v>
      </c>
      <c r="C158" s="44" t="s">
        <v>129</v>
      </c>
      <c r="D158" s="44" t="s">
        <v>129</v>
      </c>
      <c r="E158" s="104">
        <f t="shared" si="48"/>
        <v>155.53960277578369</v>
      </c>
      <c r="F158" s="104">
        <f t="shared" si="49"/>
        <v>132.84283670549763</v>
      </c>
      <c r="G158" s="90">
        <f t="shared" si="50"/>
        <v>55.539602775783692</v>
      </c>
      <c r="H158" s="133">
        <f t="shared" si="51"/>
        <v>32.842836705497632</v>
      </c>
      <c r="I158" s="141">
        <v>58</v>
      </c>
      <c r="K158" t="s">
        <v>169</v>
      </c>
    </row>
    <row r="159" spans="1:11" ht="15.75" x14ac:dyDescent="0.25">
      <c r="A159" s="69" t="s">
        <v>62</v>
      </c>
      <c r="B159" s="45">
        <v>10</v>
      </c>
      <c r="C159" s="46" t="s">
        <v>130</v>
      </c>
      <c r="D159" s="46" t="s">
        <v>130</v>
      </c>
      <c r="E159" s="104">
        <f t="shared" si="48"/>
        <v>50.251256281407045</v>
      </c>
      <c r="F159" s="104">
        <f t="shared" si="49"/>
        <v>42.918454935622321</v>
      </c>
      <c r="G159" s="90">
        <f t="shared" si="50"/>
        <v>-49.748743718592955</v>
      </c>
      <c r="H159" s="133">
        <f t="shared" si="51"/>
        <v>-57.081545064377679</v>
      </c>
      <c r="I159" s="141">
        <v>59</v>
      </c>
      <c r="K159" t="s">
        <v>168</v>
      </c>
    </row>
    <row r="160" spans="1:11" ht="15.75" x14ac:dyDescent="0.25">
      <c r="A160" s="69" t="s">
        <v>63</v>
      </c>
      <c r="B160" s="45">
        <v>24.324324324324326</v>
      </c>
      <c r="C160" s="44" t="s">
        <v>129</v>
      </c>
      <c r="D160" s="44" t="s">
        <v>129</v>
      </c>
      <c r="E160" s="104">
        <f t="shared" si="48"/>
        <v>122.23278554936847</v>
      </c>
      <c r="F160" s="104">
        <f t="shared" si="49"/>
        <v>104.39624173529754</v>
      </c>
      <c r="G160" s="90">
        <f t="shared" si="50"/>
        <v>22.232785549368472</v>
      </c>
      <c r="H160" s="133">
        <f t="shared" si="51"/>
        <v>4.3962417352975365</v>
      </c>
      <c r="I160" s="141">
        <v>60</v>
      </c>
      <c r="K160" t="s">
        <v>167</v>
      </c>
    </row>
    <row r="161" spans="1:11" ht="15.75" x14ac:dyDescent="0.25">
      <c r="A161" s="69" t="s">
        <v>64</v>
      </c>
      <c r="B161" s="45">
        <v>9.5238095238095237</v>
      </c>
      <c r="C161" s="46" t="s">
        <v>130</v>
      </c>
      <c r="D161" s="46" t="s">
        <v>130</v>
      </c>
      <c r="E161" s="104">
        <f t="shared" si="48"/>
        <v>47.858339315625756</v>
      </c>
      <c r="F161" s="104">
        <f t="shared" si="49"/>
        <v>40.874718986306966</v>
      </c>
      <c r="G161" s="90">
        <f t="shared" si="50"/>
        <v>-52.141660684374244</v>
      </c>
      <c r="H161" s="133">
        <f t="shared" si="51"/>
        <v>-59.125281013693034</v>
      </c>
      <c r="I161" s="141">
        <v>61</v>
      </c>
    </row>
    <row r="162" spans="1:11" ht="16.5" thickBot="1" x14ac:dyDescent="0.3">
      <c r="A162" s="70" t="s">
        <v>65</v>
      </c>
      <c r="B162" s="57">
        <v>12.5</v>
      </c>
      <c r="C162" s="79" t="s">
        <v>130</v>
      </c>
      <c r="D162" s="79" t="s">
        <v>130</v>
      </c>
      <c r="E162" s="104">
        <f t="shared" si="48"/>
        <v>62.814070351758801</v>
      </c>
      <c r="F162" s="104">
        <f t="shared" si="49"/>
        <v>53.648068669527895</v>
      </c>
      <c r="G162" s="90">
        <f t="shared" si="50"/>
        <v>-37.185929648241199</v>
      </c>
      <c r="H162" s="133">
        <f t="shared" si="51"/>
        <v>-46.351931330472105</v>
      </c>
      <c r="I162" s="141">
        <v>62</v>
      </c>
    </row>
    <row r="163" spans="1:11" ht="16.5" thickTop="1" x14ac:dyDescent="0.25">
      <c r="A163" s="112" t="s">
        <v>66</v>
      </c>
      <c r="B163" s="113">
        <v>54.187192118226605</v>
      </c>
      <c r="C163" s="158">
        <v>54.187192118226605</v>
      </c>
      <c r="D163" s="44" t="s">
        <v>129</v>
      </c>
      <c r="E163" s="106"/>
      <c r="F163" s="106"/>
      <c r="G163" s="94"/>
      <c r="H163" s="138"/>
      <c r="I163" s="141">
        <v>63</v>
      </c>
      <c r="K163" s="148" t="s">
        <v>167</v>
      </c>
    </row>
    <row r="164" spans="1:11" ht="15.75" x14ac:dyDescent="0.25">
      <c r="A164" s="69" t="s">
        <v>67</v>
      </c>
      <c r="B164" s="48">
        <v>7.6923076923076916</v>
      </c>
      <c r="C164" s="46" t="s">
        <v>130</v>
      </c>
      <c r="D164" s="46" t="s">
        <v>130</v>
      </c>
      <c r="E164" s="104">
        <f t="shared" ref="E164:E170" si="52">B164/54.2*100</f>
        <v>14.192449616803859</v>
      </c>
      <c r="F164" s="104">
        <f t="shared" ref="F164:F170" si="53">(B164/23.3)*100</f>
        <v>33.014196104324853</v>
      </c>
      <c r="G164" s="90">
        <f t="shared" ref="G164:H170" si="54">E164-100</f>
        <v>-85.807550383196144</v>
      </c>
      <c r="H164" s="133">
        <f t="shared" si="54"/>
        <v>-66.985803895675147</v>
      </c>
      <c r="I164" s="141">
        <v>64</v>
      </c>
      <c r="K164" s="148" t="s">
        <v>168</v>
      </c>
    </row>
    <row r="165" spans="1:11" ht="15.75" x14ac:dyDescent="0.25">
      <c r="A165" s="69" t="s">
        <v>68</v>
      </c>
      <c r="B165" s="48">
        <v>93.150684931506845</v>
      </c>
      <c r="C165" s="44" t="s">
        <v>129</v>
      </c>
      <c r="D165" s="44" t="s">
        <v>129</v>
      </c>
      <c r="E165" s="104">
        <f t="shared" si="52"/>
        <v>171.8647323459536</v>
      </c>
      <c r="F165" s="104">
        <f t="shared" si="53"/>
        <v>399.78834734552294</v>
      </c>
      <c r="G165" s="90">
        <f t="shared" si="54"/>
        <v>71.864732345953598</v>
      </c>
      <c r="H165" s="133">
        <f t="shared" si="54"/>
        <v>299.78834734552294</v>
      </c>
      <c r="I165" s="141">
        <v>65</v>
      </c>
      <c r="K165" s="148" t="s">
        <v>173</v>
      </c>
    </row>
    <row r="166" spans="1:11" ht="15.75" x14ac:dyDescent="0.25">
      <c r="A166" s="69" t="s">
        <v>132</v>
      </c>
      <c r="B166" s="48">
        <f>AVERAGE(B167:B169)</f>
        <v>42.773892773892776</v>
      </c>
      <c r="C166" s="46" t="s">
        <v>130</v>
      </c>
      <c r="D166" s="44" t="s">
        <v>129</v>
      </c>
      <c r="E166" s="104">
        <f t="shared" si="52"/>
        <v>78.918621354045698</v>
      </c>
      <c r="F166" s="104">
        <f t="shared" si="53"/>
        <v>183.57893894374581</v>
      </c>
      <c r="G166" s="90">
        <f t="shared" si="54"/>
        <v>-21.081378645954302</v>
      </c>
      <c r="H166" s="133">
        <f t="shared" si="54"/>
        <v>83.578938943745811</v>
      </c>
      <c r="I166" s="141">
        <v>66</v>
      </c>
      <c r="K166" t="s">
        <v>174</v>
      </c>
    </row>
    <row r="167" spans="1:11" ht="30.75" x14ac:dyDescent="0.25">
      <c r="A167" s="71" t="s">
        <v>109</v>
      </c>
      <c r="B167" s="48">
        <v>59.090909090909093</v>
      </c>
      <c r="C167" s="44" t="s">
        <v>129</v>
      </c>
      <c r="D167" s="44" t="s">
        <v>129</v>
      </c>
      <c r="E167" s="104">
        <f t="shared" si="52"/>
        <v>109.02381751090238</v>
      </c>
      <c r="F167" s="104">
        <f t="shared" si="53"/>
        <v>253.60905189231372</v>
      </c>
      <c r="G167" s="90">
        <f t="shared" si="54"/>
        <v>9.0238175109023757</v>
      </c>
      <c r="H167" s="133">
        <f t="shared" si="54"/>
        <v>153.60905189231372</v>
      </c>
      <c r="I167" s="141">
        <v>67</v>
      </c>
      <c r="K167" t="s">
        <v>175</v>
      </c>
    </row>
    <row r="168" spans="1:11" ht="15.75" x14ac:dyDescent="0.25">
      <c r="A168" s="71" t="s">
        <v>110</v>
      </c>
      <c r="B168" s="48">
        <v>46.153846153846153</v>
      </c>
      <c r="C168" s="46" t="s">
        <v>130</v>
      </c>
      <c r="D168" s="44" t="s">
        <v>129</v>
      </c>
      <c r="E168" s="104">
        <f t="shared" si="52"/>
        <v>85.154697700823164</v>
      </c>
      <c r="F168" s="104">
        <f t="shared" si="53"/>
        <v>198.08517662594915</v>
      </c>
      <c r="G168" s="90">
        <f t="shared" si="54"/>
        <v>-14.845302299176836</v>
      </c>
      <c r="H168" s="133">
        <f t="shared" si="54"/>
        <v>98.085176625949146</v>
      </c>
      <c r="I168" s="141">
        <v>68</v>
      </c>
      <c r="K168" t="s">
        <v>176</v>
      </c>
    </row>
    <row r="169" spans="1:11" ht="30.75" x14ac:dyDescent="0.25">
      <c r="A169" s="71" t="s">
        <v>111</v>
      </c>
      <c r="B169" s="48">
        <v>23.076923076923077</v>
      </c>
      <c r="C169" s="46" t="s">
        <v>130</v>
      </c>
      <c r="D169" s="46" t="s">
        <v>130</v>
      </c>
      <c r="E169" s="104">
        <f t="shared" si="52"/>
        <v>42.577348850411582</v>
      </c>
      <c r="F169" s="104">
        <f t="shared" si="53"/>
        <v>99.042588312974573</v>
      </c>
      <c r="G169" s="90">
        <f t="shared" si="54"/>
        <v>-57.422651149588418</v>
      </c>
      <c r="H169" s="133">
        <f t="shared" si="54"/>
        <v>-0.95741168702542723</v>
      </c>
      <c r="I169" s="141">
        <v>69</v>
      </c>
    </row>
    <row r="170" spans="1:11" ht="16.5" thickBot="1" x14ac:dyDescent="0.3">
      <c r="A170" s="70" t="s">
        <v>70</v>
      </c>
      <c r="B170" s="66">
        <v>34.883720930232556</v>
      </c>
      <c r="C170" s="115" t="s">
        <v>130</v>
      </c>
      <c r="D170" s="58" t="s">
        <v>129</v>
      </c>
      <c r="E170" s="104">
        <f t="shared" si="52"/>
        <v>64.361108727366329</v>
      </c>
      <c r="F170" s="104">
        <f t="shared" si="53"/>
        <v>149.7155404731011</v>
      </c>
      <c r="G170" s="90">
        <f t="shared" si="54"/>
        <v>-35.638891272633671</v>
      </c>
      <c r="H170" s="133">
        <f t="shared" si="54"/>
        <v>49.7155404731011</v>
      </c>
      <c r="I170" s="141">
        <v>70</v>
      </c>
    </row>
    <row r="171" spans="1:11" ht="16.5" thickTop="1" x14ac:dyDescent="0.25">
      <c r="A171" s="112" t="s">
        <v>71</v>
      </c>
      <c r="B171" s="113">
        <v>21.068249258160236</v>
      </c>
      <c r="C171" s="114">
        <v>21.068249258160236</v>
      </c>
      <c r="D171" s="116" t="s">
        <v>130</v>
      </c>
      <c r="E171" s="106"/>
      <c r="F171" s="106"/>
      <c r="G171" s="94"/>
      <c r="H171" s="138"/>
      <c r="I171" s="141">
        <v>71</v>
      </c>
    </row>
    <row r="172" spans="1:11" ht="15.75" x14ac:dyDescent="0.25">
      <c r="A172" s="69" t="s">
        <v>72</v>
      </c>
      <c r="B172" s="48">
        <v>9.0909090909090917</v>
      </c>
      <c r="C172" s="46" t="s">
        <v>130</v>
      </c>
      <c r="D172" s="46" t="s">
        <v>130</v>
      </c>
      <c r="E172" s="104">
        <f t="shared" ref="E172:E181" si="55">B172/21.1*100</f>
        <v>43.084877208099961</v>
      </c>
      <c r="F172" s="104">
        <f t="shared" ref="F172:F181" si="56">(B172/23.3)*100</f>
        <v>39.016777214202108</v>
      </c>
      <c r="G172" s="90">
        <f t="shared" ref="G172:G181" si="57">E172-100</f>
        <v>-56.915122791900039</v>
      </c>
      <c r="H172" s="133">
        <f t="shared" ref="H172:H181" si="58">F172-100</f>
        <v>-60.983222785797892</v>
      </c>
      <c r="I172" s="141">
        <v>72</v>
      </c>
    </row>
    <row r="173" spans="1:11" ht="15.75" x14ac:dyDescent="0.25">
      <c r="A173" s="69" t="s">
        <v>73</v>
      </c>
      <c r="B173" s="48">
        <v>10.526315789473685</v>
      </c>
      <c r="C173" s="46" t="s">
        <v>130</v>
      </c>
      <c r="D173" s="46" t="s">
        <v>130</v>
      </c>
      <c r="E173" s="104">
        <f t="shared" si="55"/>
        <v>49.887752556747316</v>
      </c>
      <c r="F173" s="104">
        <f t="shared" si="56"/>
        <v>45.177320984865602</v>
      </c>
      <c r="G173" s="90">
        <f t="shared" si="57"/>
        <v>-50.112247443252684</v>
      </c>
      <c r="H173" s="133">
        <f t="shared" si="58"/>
        <v>-54.822679015134398</v>
      </c>
      <c r="I173" s="141">
        <v>73</v>
      </c>
    </row>
    <row r="174" spans="1:11" ht="15.75" x14ac:dyDescent="0.25">
      <c r="A174" s="69" t="s">
        <v>74</v>
      </c>
      <c r="B174" s="48">
        <v>38.46153846153846</v>
      </c>
      <c r="C174" s="44" t="s">
        <v>129</v>
      </c>
      <c r="D174" s="44" t="s">
        <v>129</v>
      </c>
      <c r="E174" s="104">
        <f t="shared" si="55"/>
        <v>182.28217280349978</v>
      </c>
      <c r="F174" s="104">
        <f t="shared" si="56"/>
        <v>165.07098052162428</v>
      </c>
      <c r="G174" s="90">
        <f t="shared" si="57"/>
        <v>82.282172803499776</v>
      </c>
      <c r="H174" s="133">
        <f t="shared" si="58"/>
        <v>65.070980521624278</v>
      </c>
      <c r="I174" s="141">
        <v>74</v>
      </c>
    </row>
    <row r="175" spans="1:11" ht="15.75" x14ac:dyDescent="0.25">
      <c r="A175" s="69" t="s">
        <v>75</v>
      </c>
      <c r="B175" s="48">
        <v>14.492753623188406</v>
      </c>
      <c r="C175" s="46" t="s">
        <v>130</v>
      </c>
      <c r="D175" s="46" t="s">
        <v>130</v>
      </c>
      <c r="E175" s="104">
        <f t="shared" si="55"/>
        <v>68.686036128854994</v>
      </c>
      <c r="F175" s="104">
        <f t="shared" si="56"/>
        <v>62.200659326988863</v>
      </c>
      <c r="G175" s="90">
        <f t="shared" si="57"/>
        <v>-31.313963871145006</v>
      </c>
      <c r="H175" s="133">
        <f t="shared" si="58"/>
        <v>-37.799340673011137</v>
      </c>
      <c r="I175" s="141">
        <v>75</v>
      </c>
    </row>
    <row r="176" spans="1:11" ht="15.75" x14ac:dyDescent="0.25">
      <c r="A176" s="69" t="s">
        <v>76</v>
      </c>
      <c r="B176" s="48">
        <v>27.868852459016395</v>
      </c>
      <c r="C176" s="44" t="s">
        <v>129</v>
      </c>
      <c r="D176" s="44" t="s">
        <v>129</v>
      </c>
      <c r="E176" s="104">
        <f t="shared" si="55"/>
        <v>132.07986947401133</v>
      </c>
      <c r="F176" s="104">
        <f t="shared" si="56"/>
        <v>119.60880883698024</v>
      </c>
      <c r="G176" s="90">
        <f t="shared" si="57"/>
        <v>32.079869474011332</v>
      </c>
      <c r="H176" s="133">
        <f t="shared" si="58"/>
        <v>19.608808836980245</v>
      </c>
      <c r="I176" s="141">
        <v>76</v>
      </c>
    </row>
    <row r="177" spans="1:9" ht="15.75" x14ac:dyDescent="0.25">
      <c r="A177" s="69" t="s">
        <v>77</v>
      </c>
      <c r="B177" s="48">
        <v>23.80952380952381</v>
      </c>
      <c r="C177" s="44" t="s">
        <v>129</v>
      </c>
      <c r="D177" s="44" t="s">
        <v>129</v>
      </c>
      <c r="E177" s="104">
        <f t="shared" si="55"/>
        <v>112.84134506883321</v>
      </c>
      <c r="F177" s="104">
        <f t="shared" si="56"/>
        <v>102.18679746576743</v>
      </c>
      <c r="G177" s="90">
        <f t="shared" si="57"/>
        <v>12.841345068833206</v>
      </c>
      <c r="H177" s="133">
        <f t="shared" si="58"/>
        <v>2.1867974657674267</v>
      </c>
      <c r="I177" s="141">
        <v>77</v>
      </c>
    </row>
    <row r="178" spans="1:9" ht="15.75" x14ac:dyDescent="0.25">
      <c r="A178" s="43" t="s">
        <v>101</v>
      </c>
      <c r="B178" s="48">
        <v>47.058823529411761</v>
      </c>
      <c r="C178" s="44" t="s">
        <v>129</v>
      </c>
      <c r="D178" s="44" t="s">
        <v>129</v>
      </c>
      <c r="E178" s="104">
        <f t="shared" si="55"/>
        <v>223.02759966545858</v>
      </c>
      <c r="F178" s="104">
        <f t="shared" si="56"/>
        <v>201.96919969704618</v>
      </c>
      <c r="G178" s="90">
        <f t="shared" si="57"/>
        <v>123.02759966545858</v>
      </c>
      <c r="H178" s="133">
        <f t="shared" si="58"/>
        <v>101.96919969704618</v>
      </c>
      <c r="I178" s="141">
        <v>78</v>
      </c>
    </row>
    <row r="179" spans="1:9" ht="15.75" x14ac:dyDescent="0.25">
      <c r="A179" s="69" t="s">
        <v>78</v>
      </c>
      <c r="B179" s="48">
        <v>14.285714285714286</v>
      </c>
      <c r="C179" s="46" t="s">
        <v>130</v>
      </c>
      <c r="D179" s="46" t="s">
        <v>130</v>
      </c>
      <c r="E179" s="104">
        <f t="shared" si="55"/>
        <v>67.704807041299929</v>
      </c>
      <c r="F179" s="104">
        <f t="shared" si="56"/>
        <v>61.312078479460453</v>
      </c>
      <c r="G179" s="90">
        <f t="shared" si="57"/>
        <v>-32.295192958700071</v>
      </c>
      <c r="H179" s="133">
        <f t="shared" si="58"/>
        <v>-38.687921520539547</v>
      </c>
      <c r="I179" s="141">
        <v>79</v>
      </c>
    </row>
    <row r="180" spans="1:9" ht="15.75" x14ac:dyDescent="0.25">
      <c r="A180" s="69" t="s">
        <v>79</v>
      </c>
      <c r="B180" s="48">
        <v>3.0303030303030303</v>
      </c>
      <c r="C180" s="46" t="s">
        <v>130</v>
      </c>
      <c r="D180" s="46" t="s">
        <v>130</v>
      </c>
      <c r="E180" s="104">
        <f t="shared" si="55"/>
        <v>14.361625736033318</v>
      </c>
      <c r="F180" s="104">
        <f t="shared" si="56"/>
        <v>13.005592404734035</v>
      </c>
      <c r="G180" s="90">
        <f t="shared" si="57"/>
        <v>-85.638374263966682</v>
      </c>
      <c r="H180" s="151">
        <f t="shared" si="58"/>
        <v>-86.994407595265969</v>
      </c>
      <c r="I180" s="141">
        <v>80</v>
      </c>
    </row>
    <row r="181" spans="1:9" ht="16.5" thickBot="1" x14ac:dyDescent="0.3">
      <c r="A181" s="72" t="s">
        <v>80</v>
      </c>
      <c r="B181" s="57">
        <v>20</v>
      </c>
      <c r="C181" s="115" t="s">
        <v>130</v>
      </c>
      <c r="D181" s="115" t="s">
        <v>130</v>
      </c>
      <c r="E181" s="104">
        <f t="shared" si="55"/>
        <v>94.786729857819893</v>
      </c>
      <c r="F181" s="104">
        <f t="shared" si="56"/>
        <v>85.836909871244643</v>
      </c>
      <c r="G181" s="90">
        <f t="shared" si="57"/>
        <v>-5.2132701421801073</v>
      </c>
      <c r="H181" s="133">
        <f t="shared" si="58"/>
        <v>-14.163090128755357</v>
      </c>
      <c r="I181" s="141">
        <v>81</v>
      </c>
    </row>
    <row r="182" spans="1:9" ht="32.25" thickTop="1" x14ac:dyDescent="0.25">
      <c r="A182" s="112" t="s">
        <v>81</v>
      </c>
      <c r="B182" s="154">
        <v>19.211822660098523</v>
      </c>
      <c r="C182" s="157">
        <v>19.211822660098523</v>
      </c>
      <c r="D182" s="46" t="s">
        <v>130</v>
      </c>
      <c r="E182" s="106"/>
      <c r="F182" s="106"/>
      <c r="G182" s="94"/>
      <c r="H182" s="138"/>
      <c r="I182" s="141">
        <v>82</v>
      </c>
    </row>
    <row r="183" spans="1:9" ht="15.75" x14ac:dyDescent="0.25">
      <c r="A183" s="69" t="s">
        <v>82</v>
      </c>
      <c r="B183" s="48">
        <v>8.695652173913043</v>
      </c>
      <c r="C183" s="46" t="s">
        <v>130</v>
      </c>
      <c r="D183" s="46" t="s">
        <v>130</v>
      </c>
      <c r="E183" s="104">
        <f t="shared" ref="E183:E189" si="59">B183/19.2*100</f>
        <v>45.289855072463766</v>
      </c>
      <c r="F183" s="104">
        <f t="shared" ref="F183:F189" si="60">(B183/23.3)*100</f>
        <v>37.320395596193315</v>
      </c>
      <c r="G183" s="90">
        <f t="shared" ref="G183:H189" si="61">E183-100</f>
        <v>-54.710144927536234</v>
      </c>
      <c r="H183" s="133">
        <f t="shared" si="61"/>
        <v>-62.679604403806685</v>
      </c>
      <c r="I183" s="141">
        <v>83</v>
      </c>
    </row>
    <row r="184" spans="1:9" ht="15.75" x14ac:dyDescent="0.25">
      <c r="A184" s="69" t="s">
        <v>83</v>
      </c>
      <c r="B184" s="48">
        <v>5.5555555555555554</v>
      </c>
      <c r="C184" s="46" t="s">
        <v>130</v>
      </c>
      <c r="D184" s="46" t="s">
        <v>130</v>
      </c>
      <c r="E184" s="104">
        <f t="shared" si="59"/>
        <v>28.935185185185187</v>
      </c>
      <c r="F184" s="104">
        <f t="shared" si="60"/>
        <v>23.84358607534573</v>
      </c>
      <c r="G184" s="90">
        <f t="shared" si="61"/>
        <v>-71.06481481481481</v>
      </c>
      <c r="H184" s="151">
        <f t="shared" si="61"/>
        <v>-76.156413924654274</v>
      </c>
      <c r="I184" s="141">
        <v>84</v>
      </c>
    </row>
    <row r="185" spans="1:9" ht="15.75" x14ac:dyDescent="0.25">
      <c r="A185" s="69" t="s">
        <v>84</v>
      </c>
      <c r="B185" s="48">
        <v>11.428571428571429</v>
      </c>
      <c r="C185" s="46" t="s">
        <v>130</v>
      </c>
      <c r="D185" s="46" t="s">
        <v>130</v>
      </c>
      <c r="E185" s="104">
        <f t="shared" si="59"/>
        <v>59.523809523809526</v>
      </c>
      <c r="F185" s="104">
        <f t="shared" si="60"/>
        <v>49.049662783568365</v>
      </c>
      <c r="G185" s="90">
        <f t="shared" si="61"/>
        <v>-40.476190476190474</v>
      </c>
      <c r="H185" s="133">
        <f t="shared" si="61"/>
        <v>-50.950337216431635</v>
      </c>
      <c r="I185" s="141">
        <v>85</v>
      </c>
    </row>
    <row r="186" spans="1:9" ht="15.75" x14ac:dyDescent="0.25">
      <c r="A186" s="69" t="s">
        <v>85</v>
      </c>
      <c r="B186" s="48">
        <v>21.428571428571427</v>
      </c>
      <c r="C186" s="44" t="s">
        <v>129</v>
      </c>
      <c r="D186" s="46" t="s">
        <v>130</v>
      </c>
      <c r="E186" s="104">
        <f t="shared" si="59"/>
        <v>111.60714285714286</v>
      </c>
      <c r="F186" s="104">
        <f t="shared" si="60"/>
        <v>91.968117719190673</v>
      </c>
      <c r="G186" s="90">
        <f t="shared" si="61"/>
        <v>11.607142857142861</v>
      </c>
      <c r="H186" s="133">
        <f t="shared" si="61"/>
        <v>-8.0318822808093273</v>
      </c>
      <c r="I186" s="141">
        <v>86</v>
      </c>
    </row>
    <row r="187" spans="1:9" ht="15.75" x14ac:dyDescent="0.25">
      <c r="A187" s="69" t="s">
        <v>86</v>
      </c>
      <c r="B187" s="48">
        <v>35.294117647058819</v>
      </c>
      <c r="C187" s="44" t="s">
        <v>129</v>
      </c>
      <c r="D187" s="44" t="s">
        <v>129</v>
      </c>
      <c r="E187" s="104">
        <f t="shared" si="59"/>
        <v>183.8235294117647</v>
      </c>
      <c r="F187" s="104">
        <f t="shared" si="60"/>
        <v>151.47689977278463</v>
      </c>
      <c r="G187" s="90">
        <f t="shared" si="61"/>
        <v>83.823529411764696</v>
      </c>
      <c r="H187" s="133">
        <f t="shared" si="61"/>
        <v>51.476899772784634</v>
      </c>
      <c r="I187" s="141">
        <v>87</v>
      </c>
    </row>
    <row r="188" spans="1:9" ht="15.75" x14ac:dyDescent="0.25">
      <c r="A188" s="69" t="s">
        <v>87</v>
      </c>
      <c r="B188" s="48">
        <v>10.526315789473685</v>
      </c>
      <c r="C188" s="46" t="s">
        <v>130</v>
      </c>
      <c r="D188" s="46" t="s">
        <v>130</v>
      </c>
      <c r="E188" s="104">
        <f t="shared" si="59"/>
        <v>54.824561403508774</v>
      </c>
      <c r="F188" s="104">
        <f t="shared" si="60"/>
        <v>45.177320984865602</v>
      </c>
      <c r="G188" s="90">
        <f t="shared" si="61"/>
        <v>-45.175438596491226</v>
      </c>
      <c r="H188" s="133">
        <f t="shared" si="61"/>
        <v>-54.822679015134398</v>
      </c>
      <c r="I188" s="141">
        <v>88</v>
      </c>
    </row>
    <row r="189" spans="1:9" ht="15.75" x14ac:dyDescent="0.25">
      <c r="A189" s="69" t="s">
        <v>88</v>
      </c>
      <c r="B189" s="48">
        <v>31.03448275862069</v>
      </c>
      <c r="C189" s="44" t="s">
        <v>129</v>
      </c>
      <c r="D189" s="44" t="s">
        <v>129</v>
      </c>
      <c r="E189" s="104">
        <f t="shared" si="59"/>
        <v>161.63793103448276</v>
      </c>
      <c r="F189" s="104">
        <f t="shared" si="60"/>
        <v>133.19520497262099</v>
      </c>
      <c r="G189" s="90">
        <f t="shared" si="61"/>
        <v>61.637931034482762</v>
      </c>
      <c r="H189" s="133">
        <f t="shared" si="61"/>
        <v>33.195204972620985</v>
      </c>
      <c r="I189" s="141">
        <v>89</v>
      </c>
    </row>
    <row r="190" spans="1:9" ht="15.75" x14ac:dyDescent="0.25">
      <c r="A190" s="69" t="s">
        <v>89</v>
      </c>
      <c r="B190" s="47">
        <v>100</v>
      </c>
      <c r="C190" s="77" t="s">
        <v>145</v>
      </c>
      <c r="D190" s="77" t="s">
        <v>145</v>
      </c>
      <c r="E190" s="77" t="s">
        <v>145</v>
      </c>
      <c r="F190" s="77" t="s">
        <v>145</v>
      </c>
      <c r="G190" s="88"/>
      <c r="H190" s="139"/>
      <c r="I190" s="141">
        <v>90</v>
      </c>
    </row>
    <row r="191" spans="1:9" ht="15.75" x14ac:dyDescent="0.25">
      <c r="A191" s="69" t="s">
        <v>90</v>
      </c>
      <c r="B191" s="47">
        <v>100</v>
      </c>
      <c r="C191" s="77" t="s">
        <v>145</v>
      </c>
      <c r="D191" s="77" t="s">
        <v>145</v>
      </c>
      <c r="E191" s="77" t="s">
        <v>145</v>
      </c>
      <c r="F191" s="77" t="s">
        <v>145</v>
      </c>
      <c r="G191" s="88"/>
      <c r="H191" s="139"/>
      <c r="I191" s="141">
        <v>91</v>
      </c>
    </row>
    <row r="192" spans="1:9" ht="15.75" x14ac:dyDescent="0.25">
      <c r="A192" s="69" t="s">
        <v>91</v>
      </c>
      <c r="B192" s="48">
        <v>16.666666666666668</v>
      </c>
      <c r="C192" s="46" t="s">
        <v>130</v>
      </c>
      <c r="D192" s="46" t="s">
        <v>130</v>
      </c>
      <c r="E192" s="104">
        <f>B192/19.2*100</f>
        <v>86.805555555555571</v>
      </c>
      <c r="F192" s="104">
        <f>(B192/23.3)*100</f>
        <v>71.530758226037193</v>
      </c>
      <c r="G192" s="90">
        <f>E192-100</f>
        <v>-13.194444444444429</v>
      </c>
      <c r="H192" s="133">
        <f>F192-100</f>
        <v>-28.469241773962807</v>
      </c>
      <c r="I192" s="141">
        <v>92</v>
      </c>
    </row>
    <row r="193" spans="1:10" ht="16.5" thickBot="1" x14ac:dyDescent="0.3">
      <c r="A193" s="96" t="s">
        <v>92</v>
      </c>
      <c r="B193" s="97">
        <v>57.142857142857139</v>
      </c>
      <c r="C193" s="156" t="s">
        <v>129</v>
      </c>
      <c r="D193" s="156" t="s">
        <v>129</v>
      </c>
      <c r="E193" s="104">
        <f>B193/19.2*100</f>
        <v>297.61904761904765</v>
      </c>
      <c r="F193" s="104">
        <f>(B193/23.3)*100</f>
        <v>245.24831391784181</v>
      </c>
      <c r="G193" s="99">
        <f>E193-100</f>
        <v>197.61904761904765</v>
      </c>
      <c r="H193" s="140">
        <f>F193-100</f>
        <v>145.24831391784181</v>
      </c>
      <c r="I193" s="142">
        <v>93</v>
      </c>
    </row>
    <row r="195" spans="1:10" ht="12.75" customHeight="1" thickBot="1" x14ac:dyDescent="0.3">
      <c r="A195" s="117"/>
      <c r="B195" s="117"/>
      <c r="C195" s="117"/>
      <c r="D195" s="117"/>
      <c r="E195" s="117"/>
    </row>
    <row r="196" spans="1:10" ht="43.5" customHeight="1" thickBot="1" x14ac:dyDescent="0.3">
      <c r="A196" s="305" t="s">
        <v>146</v>
      </c>
      <c r="B196" s="306"/>
      <c r="C196" s="306"/>
      <c r="D196" s="306"/>
      <c r="E196" s="306"/>
      <c r="F196" s="307"/>
    </row>
    <row r="197" spans="1:10" ht="32.25" thickBot="1" x14ac:dyDescent="0.25">
      <c r="A197" s="286"/>
      <c r="B197" s="288" t="s">
        <v>124</v>
      </c>
      <c r="C197" s="288" t="s">
        <v>125</v>
      </c>
      <c r="D197" s="288" t="s">
        <v>239</v>
      </c>
      <c r="E197" s="247" t="s">
        <v>131</v>
      </c>
      <c r="F197" s="248" t="s">
        <v>128</v>
      </c>
      <c r="G197" s="144" t="s">
        <v>149</v>
      </c>
    </row>
    <row r="198" spans="1:10" ht="57.75" customHeight="1" thickBot="1" x14ac:dyDescent="0.25">
      <c r="A198" s="287"/>
      <c r="B198" s="289"/>
      <c r="C198" s="289"/>
      <c r="D198" s="289"/>
      <c r="E198" s="284" t="s">
        <v>240</v>
      </c>
      <c r="F198" s="285"/>
      <c r="G198" s="141">
        <v>1</v>
      </c>
    </row>
    <row r="199" spans="1:10" ht="16.5" thickBot="1" x14ac:dyDescent="0.3">
      <c r="A199" s="245" t="s">
        <v>11</v>
      </c>
      <c r="B199" s="246">
        <v>7.6733080849662443</v>
      </c>
      <c r="C199" s="246">
        <v>92.326691915033763</v>
      </c>
      <c r="D199" s="275">
        <f t="shared" ref="D199:D200" si="62">B199/C199*100</f>
        <v>8.3110397717139275</v>
      </c>
      <c r="E199" s="276"/>
      <c r="F199" s="277">
        <v>8.3110397717139275</v>
      </c>
      <c r="G199" s="141">
        <v>2</v>
      </c>
      <c r="I199" s="290"/>
    </row>
    <row r="200" spans="1:10" ht="32.25" thickTop="1" x14ac:dyDescent="0.25">
      <c r="A200" s="250" t="s">
        <v>13</v>
      </c>
      <c r="B200" s="119">
        <v>10.288432946773714</v>
      </c>
      <c r="C200" s="119">
        <v>89.711567053226275</v>
      </c>
      <c r="D200" s="273">
        <f t="shared" si="62"/>
        <v>11.468346039111701</v>
      </c>
      <c r="E200" s="274">
        <v>11.468346039111701</v>
      </c>
      <c r="F200" s="267" t="s">
        <v>242</v>
      </c>
      <c r="G200" s="141">
        <v>3</v>
      </c>
      <c r="I200" s="290"/>
    </row>
    <row r="201" spans="1:10" ht="15.75" x14ac:dyDescent="0.25">
      <c r="A201" s="251" t="s">
        <v>14</v>
      </c>
      <c r="B201" s="45">
        <v>8.4210526315789469</v>
      </c>
      <c r="C201" s="45">
        <f>100-B201</f>
        <v>91.578947368421055</v>
      </c>
      <c r="D201" s="103">
        <f>B201/C201*100</f>
        <v>9.1954022988505741</v>
      </c>
      <c r="E201" s="266" t="s">
        <v>241</v>
      </c>
      <c r="F201" s="267" t="s">
        <v>242</v>
      </c>
      <c r="G201" s="141">
        <v>4</v>
      </c>
    </row>
    <row r="202" spans="1:10" ht="15.75" x14ac:dyDescent="0.25">
      <c r="A202" s="251" t="s">
        <v>15</v>
      </c>
      <c r="B202" s="45">
        <v>13.636363636363635</v>
      </c>
      <c r="C202" s="45">
        <f t="shared" ref="C202:C217" si="63">100-B202</f>
        <v>86.36363636363636</v>
      </c>
      <c r="D202" s="103">
        <f t="shared" ref="D202:D265" si="64">B202/C202*100</f>
        <v>15.789473684210526</v>
      </c>
      <c r="E202" s="267" t="s">
        <v>242</v>
      </c>
      <c r="F202" s="267" t="s">
        <v>242</v>
      </c>
      <c r="G202" s="141">
        <v>5</v>
      </c>
      <c r="H202" s="122"/>
    </row>
    <row r="203" spans="1:10" ht="15.75" x14ac:dyDescent="0.25">
      <c r="A203" s="251" t="s">
        <v>16</v>
      </c>
      <c r="B203" s="45">
        <v>24.528301886792452</v>
      </c>
      <c r="C203" s="45">
        <f t="shared" si="63"/>
        <v>75.471698113207552</v>
      </c>
      <c r="D203" s="103">
        <f t="shared" si="64"/>
        <v>32.499999999999993</v>
      </c>
      <c r="E203" s="267" t="s">
        <v>242</v>
      </c>
      <c r="F203" s="267" t="s">
        <v>242</v>
      </c>
      <c r="G203" s="141">
        <v>6</v>
      </c>
    </row>
    <row r="204" spans="1:10" ht="15.75" x14ac:dyDescent="0.25">
      <c r="A204" s="251" t="s">
        <v>17</v>
      </c>
      <c r="B204" s="45">
        <v>6.3063063063063058</v>
      </c>
      <c r="C204" s="45">
        <f t="shared" si="63"/>
        <v>93.693693693693689</v>
      </c>
      <c r="D204" s="103">
        <f t="shared" si="64"/>
        <v>6.7307692307692308</v>
      </c>
      <c r="E204" s="266" t="s">
        <v>241</v>
      </c>
      <c r="F204" s="266" t="s">
        <v>241</v>
      </c>
      <c r="G204" s="141">
        <v>7</v>
      </c>
      <c r="H204" s="290"/>
      <c r="I204" s="290"/>
      <c r="J204" s="290"/>
    </row>
    <row r="205" spans="1:10" ht="15.75" x14ac:dyDescent="0.25">
      <c r="A205" s="251" t="s">
        <v>18</v>
      </c>
      <c r="B205" s="45">
        <v>20.689655172413794</v>
      </c>
      <c r="C205" s="45">
        <f t="shared" si="63"/>
        <v>79.310344827586206</v>
      </c>
      <c r="D205" s="103">
        <f t="shared" si="64"/>
        <v>26.086956521739129</v>
      </c>
      <c r="E205" s="267" t="s">
        <v>242</v>
      </c>
      <c r="F205" s="267" t="s">
        <v>242</v>
      </c>
      <c r="G205" s="141">
        <v>8</v>
      </c>
    </row>
    <row r="206" spans="1:10" ht="15.75" x14ac:dyDescent="0.25">
      <c r="A206" s="251" t="s">
        <v>19</v>
      </c>
      <c r="B206" s="45">
        <v>9.3525179856115113</v>
      </c>
      <c r="C206" s="45">
        <f t="shared" si="63"/>
        <v>90.647482014388487</v>
      </c>
      <c r="D206" s="103">
        <f t="shared" si="64"/>
        <v>10.317460317460318</v>
      </c>
      <c r="E206" s="266" t="s">
        <v>241</v>
      </c>
      <c r="F206" s="267" t="s">
        <v>242</v>
      </c>
      <c r="G206" s="141">
        <v>9</v>
      </c>
    </row>
    <row r="207" spans="1:10" ht="15.75" x14ac:dyDescent="0.25">
      <c r="A207" s="251" t="s">
        <v>20</v>
      </c>
      <c r="B207" s="45">
        <v>9.375</v>
      </c>
      <c r="C207" s="45">
        <f t="shared" si="63"/>
        <v>90.625</v>
      </c>
      <c r="D207" s="103">
        <f t="shared" si="64"/>
        <v>10.344827586206897</v>
      </c>
      <c r="E207" s="266" t="s">
        <v>241</v>
      </c>
      <c r="F207" s="267" t="s">
        <v>242</v>
      </c>
      <c r="G207" s="141">
        <v>10</v>
      </c>
    </row>
    <row r="208" spans="1:10" ht="15.75" x14ac:dyDescent="0.25">
      <c r="A208" s="251" t="s">
        <v>21</v>
      </c>
      <c r="B208" s="45">
        <v>8.598726114649681</v>
      </c>
      <c r="C208" s="45">
        <f t="shared" si="63"/>
        <v>91.401273885350321</v>
      </c>
      <c r="D208" s="103">
        <f t="shared" si="64"/>
        <v>9.407665505226479</v>
      </c>
      <c r="E208" s="266" t="s">
        <v>241</v>
      </c>
      <c r="F208" s="267" t="s">
        <v>242</v>
      </c>
      <c r="G208" s="141">
        <v>11</v>
      </c>
    </row>
    <row r="209" spans="1:7" ht="15.75" x14ac:dyDescent="0.25">
      <c r="A209" s="251" t="s">
        <v>22</v>
      </c>
      <c r="B209" s="45">
        <v>2.0547945205479454</v>
      </c>
      <c r="C209" s="45">
        <f t="shared" si="63"/>
        <v>97.945205479452056</v>
      </c>
      <c r="D209" s="103">
        <f t="shared" si="64"/>
        <v>2.0979020979020979</v>
      </c>
      <c r="E209" s="266" t="s">
        <v>241</v>
      </c>
      <c r="F209" s="266" t="s">
        <v>241</v>
      </c>
      <c r="G209" s="141">
        <v>12</v>
      </c>
    </row>
    <row r="210" spans="1:7" ht="15.75" x14ac:dyDescent="0.25">
      <c r="A210" s="251" t="s">
        <v>23</v>
      </c>
      <c r="B210" s="47">
        <v>0</v>
      </c>
      <c r="C210" s="47">
        <v>0</v>
      </c>
      <c r="D210" s="279" t="s">
        <v>244</v>
      </c>
      <c r="E210" s="282" t="s">
        <v>244</v>
      </c>
      <c r="F210" s="283"/>
      <c r="G210" s="141">
        <v>13</v>
      </c>
    </row>
    <row r="211" spans="1:7" ht="15.75" x14ac:dyDescent="0.25">
      <c r="A211" s="251" t="s">
        <v>24</v>
      </c>
      <c r="B211" s="45">
        <v>7.0833333333333339</v>
      </c>
      <c r="C211" s="45">
        <f t="shared" si="63"/>
        <v>92.916666666666671</v>
      </c>
      <c r="D211" s="103">
        <f t="shared" si="64"/>
        <v>7.623318385650224</v>
      </c>
      <c r="E211" s="266" t="s">
        <v>241</v>
      </c>
      <c r="F211" s="266" t="s">
        <v>241</v>
      </c>
      <c r="G211" s="141">
        <v>14</v>
      </c>
    </row>
    <row r="212" spans="1:7" ht="15.75" x14ac:dyDescent="0.25">
      <c r="A212" s="251" t="s">
        <v>25</v>
      </c>
      <c r="B212" s="45">
        <v>11.111111111111112</v>
      </c>
      <c r="C212" s="45">
        <f t="shared" si="63"/>
        <v>88.888888888888886</v>
      </c>
      <c r="D212" s="103">
        <f t="shared" si="64"/>
        <v>12.500000000000004</v>
      </c>
      <c r="E212" s="267" t="s">
        <v>242</v>
      </c>
      <c r="F212" s="267" t="s">
        <v>242</v>
      </c>
      <c r="G212" s="141">
        <v>15</v>
      </c>
    </row>
    <row r="213" spans="1:7" ht="15.75" x14ac:dyDescent="0.25">
      <c r="A213" s="251" t="s">
        <v>26</v>
      </c>
      <c r="B213" s="45">
        <v>14.743589743589743</v>
      </c>
      <c r="C213" s="45">
        <f t="shared" si="63"/>
        <v>85.256410256410263</v>
      </c>
      <c r="D213" s="103">
        <f t="shared" si="64"/>
        <v>17.293233082706767</v>
      </c>
      <c r="E213" s="267" t="s">
        <v>242</v>
      </c>
      <c r="F213" s="267" t="s">
        <v>242</v>
      </c>
      <c r="G213" s="141">
        <v>16</v>
      </c>
    </row>
    <row r="214" spans="1:7" ht="15.75" x14ac:dyDescent="0.25">
      <c r="A214" s="251" t="s">
        <v>27</v>
      </c>
      <c r="B214" s="45">
        <v>5.3278688524590168</v>
      </c>
      <c r="C214" s="45">
        <f t="shared" si="63"/>
        <v>94.672131147540981</v>
      </c>
      <c r="D214" s="103">
        <f t="shared" si="64"/>
        <v>5.6277056277056277</v>
      </c>
      <c r="E214" s="266" t="s">
        <v>241</v>
      </c>
      <c r="F214" s="266" t="s">
        <v>241</v>
      </c>
      <c r="G214" s="141">
        <v>17</v>
      </c>
    </row>
    <row r="215" spans="1:7" ht="15.75" x14ac:dyDescent="0.25">
      <c r="A215" s="251" t="s">
        <v>28</v>
      </c>
      <c r="B215" s="45">
        <v>16.363636363636363</v>
      </c>
      <c r="C215" s="45">
        <f t="shared" si="63"/>
        <v>83.63636363636364</v>
      </c>
      <c r="D215" s="103">
        <f t="shared" si="64"/>
        <v>19.565217391304344</v>
      </c>
      <c r="E215" s="267" t="s">
        <v>242</v>
      </c>
      <c r="F215" s="267" t="s">
        <v>242</v>
      </c>
      <c r="G215" s="141">
        <v>18</v>
      </c>
    </row>
    <row r="216" spans="1:7" ht="15.75" x14ac:dyDescent="0.25">
      <c r="A216" s="251" t="s">
        <v>29</v>
      </c>
      <c r="B216" s="45">
        <v>29.870129870129869</v>
      </c>
      <c r="C216" s="45">
        <f t="shared" si="63"/>
        <v>70.129870129870127</v>
      </c>
      <c r="D216" s="103">
        <f t="shared" si="64"/>
        <v>42.592592592592595</v>
      </c>
      <c r="E216" s="267" t="s">
        <v>242</v>
      </c>
      <c r="F216" s="267" t="s">
        <v>242</v>
      </c>
      <c r="G216" s="141">
        <v>19</v>
      </c>
    </row>
    <row r="217" spans="1:7" ht="16.5" thickBot="1" x14ac:dyDescent="0.3">
      <c r="A217" s="252" t="s">
        <v>30</v>
      </c>
      <c r="B217" s="57">
        <v>12.987012987012987</v>
      </c>
      <c r="C217" s="57">
        <f t="shared" si="63"/>
        <v>87.012987012987011</v>
      </c>
      <c r="D217" s="105">
        <f t="shared" si="64"/>
        <v>14.92537313432836</v>
      </c>
      <c r="E217" s="272" t="s">
        <v>242</v>
      </c>
      <c r="F217" s="272" t="s">
        <v>242</v>
      </c>
      <c r="G217" s="141">
        <v>20</v>
      </c>
    </row>
    <row r="218" spans="1:7" ht="32.25" thickTop="1" x14ac:dyDescent="0.25">
      <c r="A218" s="250" t="s">
        <v>31</v>
      </c>
      <c r="B218" s="120">
        <v>18.611111111111111</v>
      </c>
      <c r="C218" s="120">
        <v>81.388888888888886</v>
      </c>
      <c r="D218" s="273">
        <f t="shared" si="64"/>
        <v>22.86689419795222</v>
      </c>
      <c r="E218" s="274">
        <v>22.86689419795222</v>
      </c>
      <c r="F218" s="269" t="s">
        <v>242</v>
      </c>
      <c r="G218" s="141">
        <v>21</v>
      </c>
    </row>
    <row r="219" spans="1:7" ht="15.75" x14ac:dyDescent="0.25">
      <c r="A219" s="253" t="s">
        <v>32</v>
      </c>
      <c r="B219" s="45">
        <v>20.5607476635514</v>
      </c>
      <c r="C219" s="45">
        <f>100-B219</f>
        <v>79.439252336448604</v>
      </c>
      <c r="D219" s="103">
        <f t="shared" si="64"/>
        <v>25.882352941176467</v>
      </c>
      <c r="E219" s="267" t="s">
        <v>242</v>
      </c>
      <c r="F219" s="267" t="s">
        <v>242</v>
      </c>
      <c r="G219" s="141">
        <v>22</v>
      </c>
    </row>
    <row r="220" spans="1:7" ht="15.75" x14ac:dyDescent="0.25">
      <c r="A220" s="253" t="s">
        <v>33</v>
      </c>
      <c r="B220" s="45">
        <v>8.8607594936708853</v>
      </c>
      <c r="C220" s="45">
        <f>100-B220</f>
        <v>91.139240506329116</v>
      </c>
      <c r="D220" s="103">
        <f t="shared" si="64"/>
        <v>9.7222222222222214</v>
      </c>
      <c r="E220" s="266" t="s">
        <v>241</v>
      </c>
      <c r="F220" s="267" t="s">
        <v>242</v>
      </c>
      <c r="G220" s="141">
        <v>23</v>
      </c>
    </row>
    <row r="221" spans="1:7" ht="15.75" x14ac:dyDescent="0.25">
      <c r="A221" s="253" t="s">
        <v>133</v>
      </c>
      <c r="B221" s="45">
        <f>AVERAGE(B222:B223)</f>
        <v>8.2812964614927154</v>
      </c>
      <c r="C221" s="45">
        <f>AVERAGE(C222:C223)</f>
        <v>91.718703538507285</v>
      </c>
      <c r="D221" s="103">
        <f t="shared" si="64"/>
        <v>9.0290160479818464</v>
      </c>
      <c r="E221" s="266" t="s">
        <v>241</v>
      </c>
      <c r="F221" s="267" t="s">
        <v>242</v>
      </c>
      <c r="G221" s="141">
        <v>24</v>
      </c>
    </row>
    <row r="222" spans="1:7" ht="15.75" x14ac:dyDescent="0.25">
      <c r="A222" s="254" t="s">
        <v>95</v>
      </c>
      <c r="B222" s="45">
        <v>5.2631578947368425</v>
      </c>
      <c r="C222" s="45">
        <f>100-B222</f>
        <v>94.73684210526315</v>
      </c>
      <c r="D222" s="103">
        <f t="shared" si="64"/>
        <v>5.5555555555555562</v>
      </c>
      <c r="E222" s="266" t="s">
        <v>241</v>
      </c>
      <c r="F222" s="266" t="s">
        <v>241</v>
      </c>
      <c r="G222" s="141">
        <v>25</v>
      </c>
    </row>
    <row r="223" spans="1:7" ht="30.75" x14ac:dyDescent="0.25">
      <c r="A223" s="254" t="s">
        <v>106</v>
      </c>
      <c r="B223" s="45">
        <v>11.299435028248588</v>
      </c>
      <c r="C223" s="45">
        <f t="shared" ref="C223:C224" si="65">100-B223</f>
        <v>88.700564971751419</v>
      </c>
      <c r="D223" s="103">
        <f t="shared" si="64"/>
        <v>12.738853503184714</v>
      </c>
      <c r="E223" s="266" t="s">
        <v>241</v>
      </c>
      <c r="F223" s="267" t="s">
        <v>242</v>
      </c>
      <c r="G223" s="141">
        <v>26</v>
      </c>
    </row>
    <row r="224" spans="1:7" ht="15.75" x14ac:dyDescent="0.25">
      <c r="A224" s="253" t="s">
        <v>35</v>
      </c>
      <c r="B224" s="255">
        <v>11.731843575418994</v>
      </c>
      <c r="C224" s="45">
        <f t="shared" si="65"/>
        <v>88.268156424581008</v>
      </c>
      <c r="D224" s="103">
        <f t="shared" si="64"/>
        <v>13.291139240506327</v>
      </c>
      <c r="E224" s="266" t="s">
        <v>241</v>
      </c>
      <c r="F224" s="267" t="s">
        <v>242</v>
      </c>
      <c r="G224" s="141">
        <v>27</v>
      </c>
    </row>
    <row r="225" spans="1:7" ht="15.75" x14ac:dyDescent="0.25">
      <c r="A225" s="253" t="s">
        <v>36</v>
      </c>
      <c r="B225" s="47">
        <v>0</v>
      </c>
      <c r="C225" s="47">
        <v>0</v>
      </c>
      <c r="D225" s="279" t="s">
        <v>244</v>
      </c>
      <c r="E225" s="282" t="s">
        <v>244</v>
      </c>
      <c r="F225" s="283"/>
      <c r="G225" s="141">
        <v>28</v>
      </c>
    </row>
    <row r="226" spans="1:7" ht="15.75" x14ac:dyDescent="0.25">
      <c r="A226" s="253" t="s">
        <v>37</v>
      </c>
      <c r="B226" s="48">
        <v>35.294117647058819</v>
      </c>
      <c r="C226" s="48">
        <f>100-B226</f>
        <v>64.705882352941188</v>
      </c>
      <c r="D226" s="103">
        <f t="shared" si="64"/>
        <v>54.545454545454533</v>
      </c>
      <c r="E226" s="267" t="s">
        <v>242</v>
      </c>
      <c r="F226" s="267" t="s">
        <v>242</v>
      </c>
      <c r="G226" s="141">
        <v>29</v>
      </c>
    </row>
    <row r="227" spans="1:7" ht="15.75" x14ac:dyDescent="0.25">
      <c r="A227" s="253" t="s">
        <v>38</v>
      </c>
      <c r="B227" s="45">
        <v>56.521739130434781</v>
      </c>
      <c r="C227" s="48">
        <f t="shared" ref="C227:C228" si="66">100-B227</f>
        <v>43.478260869565219</v>
      </c>
      <c r="D227" s="103">
        <f t="shared" si="64"/>
        <v>130</v>
      </c>
      <c r="E227" s="267" t="s">
        <v>242</v>
      </c>
      <c r="F227" s="267" t="s">
        <v>242</v>
      </c>
      <c r="G227" s="141">
        <v>30</v>
      </c>
    </row>
    <row r="228" spans="1:7" ht="15.75" x14ac:dyDescent="0.25">
      <c r="A228" s="253" t="s">
        <v>39</v>
      </c>
      <c r="B228" s="45">
        <v>15.833333333333334</v>
      </c>
      <c r="C228" s="48">
        <f t="shared" si="66"/>
        <v>84.166666666666671</v>
      </c>
      <c r="D228" s="103">
        <f t="shared" si="64"/>
        <v>18.811881188118811</v>
      </c>
      <c r="E228" s="266" t="s">
        <v>241</v>
      </c>
      <c r="F228" s="267" t="s">
        <v>242</v>
      </c>
      <c r="G228" s="141">
        <v>31</v>
      </c>
    </row>
    <row r="229" spans="1:7" ht="16.5" thickBot="1" x14ac:dyDescent="0.3">
      <c r="A229" s="256" t="s">
        <v>40</v>
      </c>
      <c r="B229" s="57">
        <v>22.727272727272727</v>
      </c>
      <c r="C229" s="66">
        <f>100-B229</f>
        <v>77.27272727272728</v>
      </c>
      <c r="D229" s="105">
        <f t="shared" si="64"/>
        <v>29.411764705882348</v>
      </c>
      <c r="E229" s="272" t="s">
        <v>242</v>
      </c>
      <c r="F229" s="272" t="s">
        <v>242</v>
      </c>
      <c r="G229" s="141">
        <v>32</v>
      </c>
    </row>
    <row r="230" spans="1:7" ht="16.5" thickTop="1" x14ac:dyDescent="0.25">
      <c r="A230" s="250" t="s">
        <v>107</v>
      </c>
      <c r="B230" s="119">
        <v>5.4452637549631318</v>
      </c>
      <c r="C230" s="119">
        <v>94.554736245036878</v>
      </c>
      <c r="D230" s="273">
        <f t="shared" si="64"/>
        <v>5.7588482303539292</v>
      </c>
      <c r="E230" s="278">
        <v>5.7588482303539292</v>
      </c>
      <c r="F230" s="271" t="s">
        <v>241</v>
      </c>
      <c r="G230" s="141">
        <v>33</v>
      </c>
    </row>
    <row r="231" spans="1:7" ht="15.75" x14ac:dyDescent="0.25">
      <c r="A231" s="257" t="s">
        <v>96</v>
      </c>
      <c r="B231" s="48">
        <v>5.8823529411764701</v>
      </c>
      <c r="C231" s="48">
        <f>100-B231</f>
        <v>94.117647058823536</v>
      </c>
      <c r="D231" s="103">
        <f t="shared" si="64"/>
        <v>6.2499999999999991</v>
      </c>
      <c r="E231" s="267" t="s">
        <v>242</v>
      </c>
      <c r="F231" s="266" t="s">
        <v>241</v>
      </c>
      <c r="G231" s="141">
        <v>34</v>
      </c>
    </row>
    <row r="232" spans="1:7" ht="15.75" x14ac:dyDescent="0.25">
      <c r="A232" s="257" t="s">
        <v>41</v>
      </c>
      <c r="B232" s="48">
        <v>1.7699115044247788</v>
      </c>
      <c r="C232" s="48">
        <f t="shared" ref="C232:C237" si="67">100-B232</f>
        <v>98.230088495575217</v>
      </c>
      <c r="D232" s="103">
        <f t="shared" si="64"/>
        <v>1.801801801801802</v>
      </c>
      <c r="E232" s="266" t="s">
        <v>241</v>
      </c>
      <c r="F232" s="266" t="s">
        <v>241</v>
      </c>
      <c r="G232" s="141">
        <v>35</v>
      </c>
    </row>
    <row r="233" spans="1:7" ht="15.75" x14ac:dyDescent="0.25">
      <c r="A233" s="257" t="s">
        <v>42</v>
      </c>
      <c r="B233" s="48">
        <v>1.5748031496062991</v>
      </c>
      <c r="C233" s="48">
        <f t="shared" si="67"/>
        <v>98.425196850393704</v>
      </c>
      <c r="D233" s="103">
        <f t="shared" si="64"/>
        <v>1.5999999999999996</v>
      </c>
      <c r="E233" s="266" t="s">
        <v>241</v>
      </c>
      <c r="F233" s="266" t="s">
        <v>241</v>
      </c>
      <c r="G233" s="141">
        <v>36</v>
      </c>
    </row>
    <row r="234" spans="1:7" ht="15.75" x14ac:dyDescent="0.25">
      <c r="A234" s="257" t="s">
        <v>43</v>
      </c>
      <c r="B234" s="48">
        <v>7.8740157480314963</v>
      </c>
      <c r="C234" s="48">
        <f t="shared" si="67"/>
        <v>92.125984251968504</v>
      </c>
      <c r="D234" s="103">
        <f t="shared" si="64"/>
        <v>8.5470085470085468</v>
      </c>
      <c r="E234" s="267" t="s">
        <v>242</v>
      </c>
      <c r="F234" s="267" t="s">
        <v>242</v>
      </c>
      <c r="G234" s="141">
        <v>37</v>
      </c>
    </row>
    <row r="235" spans="1:7" ht="15.75" x14ac:dyDescent="0.25">
      <c r="A235" s="257" t="s">
        <v>44</v>
      </c>
      <c r="B235" s="48">
        <v>8.59375</v>
      </c>
      <c r="C235" s="48">
        <f t="shared" si="67"/>
        <v>91.40625</v>
      </c>
      <c r="D235" s="103">
        <f t="shared" si="64"/>
        <v>9.4017094017094021</v>
      </c>
      <c r="E235" s="267" t="s">
        <v>242</v>
      </c>
      <c r="F235" s="267" t="s">
        <v>242</v>
      </c>
      <c r="G235" s="141">
        <v>38</v>
      </c>
    </row>
    <row r="236" spans="1:7" ht="15.75" x14ac:dyDescent="0.25">
      <c r="A236" s="257" t="s">
        <v>45</v>
      </c>
      <c r="B236" s="48">
        <v>6.7757009345794392</v>
      </c>
      <c r="C236" s="48">
        <f t="shared" si="67"/>
        <v>93.224299065420567</v>
      </c>
      <c r="D236" s="103">
        <f t="shared" si="64"/>
        <v>7.2681704260651623</v>
      </c>
      <c r="E236" s="267" t="s">
        <v>242</v>
      </c>
      <c r="F236" s="266" t="s">
        <v>241</v>
      </c>
      <c r="G236" s="141">
        <v>39</v>
      </c>
    </row>
    <row r="237" spans="1:7" ht="16.5" thickBot="1" x14ac:dyDescent="0.3">
      <c r="A237" s="258" t="s">
        <v>46</v>
      </c>
      <c r="B237" s="66">
        <v>4.166666666666667</v>
      </c>
      <c r="C237" s="66">
        <f t="shared" si="67"/>
        <v>95.833333333333329</v>
      </c>
      <c r="D237" s="105">
        <f t="shared" si="64"/>
        <v>4.3478260869565224</v>
      </c>
      <c r="E237" s="270" t="s">
        <v>241</v>
      </c>
      <c r="F237" s="270" t="s">
        <v>241</v>
      </c>
      <c r="G237" s="141">
        <v>40</v>
      </c>
    </row>
    <row r="238" spans="1:7" ht="32.25" thickTop="1" x14ac:dyDescent="0.25">
      <c r="A238" s="250" t="s">
        <v>47</v>
      </c>
      <c r="B238" s="119">
        <v>2.0876826722338206</v>
      </c>
      <c r="C238" s="119">
        <v>97.912317327766189</v>
      </c>
      <c r="D238" s="273">
        <f t="shared" si="64"/>
        <v>2.1321961620469083</v>
      </c>
      <c r="E238" s="274">
        <v>2.1321961620469083</v>
      </c>
      <c r="F238" s="271" t="s">
        <v>241</v>
      </c>
      <c r="G238" s="141">
        <v>41</v>
      </c>
    </row>
    <row r="239" spans="1:7" ht="15.75" x14ac:dyDescent="0.25">
      <c r="A239" s="259" t="s">
        <v>48</v>
      </c>
      <c r="B239" s="48">
        <v>0.99009900990099009</v>
      </c>
      <c r="C239" s="48">
        <f>100-B239</f>
        <v>99.009900990099013</v>
      </c>
      <c r="D239" s="103">
        <f t="shared" si="64"/>
        <v>1</v>
      </c>
      <c r="E239" s="266" t="s">
        <v>241</v>
      </c>
      <c r="F239" s="266" t="s">
        <v>241</v>
      </c>
      <c r="G239" s="141">
        <v>42</v>
      </c>
    </row>
    <row r="240" spans="1:7" ht="15.75" x14ac:dyDescent="0.25">
      <c r="A240" s="259" t="s">
        <v>97</v>
      </c>
      <c r="B240" s="268">
        <v>0</v>
      </c>
      <c r="C240" s="268">
        <v>100</v>
      </c>
      <c r="D240" s="249">
        <f t="shared" si="64"/>
        <v>0</v>
      </c>
      <c r="E240" s="280" t="s">
        <v>243</v>
      </c>
      <c r="F240" s="281"/>
      <c r="G240" s="141">
        <v>43</v>
      </c>
    </row>
    <row r="241" spans="1:7" ht="15.75" x14ac:dyDescent="0.25">
      <c r="A241" s="259" t="s">
        <v>49</v>
      </c>
      <c r="B241" s="48">
        <v>5.882352941176471</v>
      </c>
      <c r="C241" s="48">
        <f>100-B241</f>
        <v>94.117647058823536</v>
      </c>
      <c r="D241" s="103">
        <f t="shared" si="64"/>
        <v>6.25</v>
      </c>
      <c r="E241" s="267" t="s">
        <v>242</v>
      </c>
      <c r="F241" s="266" t="s">
        <v>241</v>
      </c>
      <c r="G241" s="141">
        <v>44</v>
      </c>
    </row>
    <row r="242" spans="1:7" ht="15.75" x14ac:dyDescent="0.25">
      <c r="A242" s="259" t="s">
        <v>50</v>
      </c>
      <c r="B242" s="48">
        <v>5.6818181818181817</v>
      </c>
      <c r="C242" s="48">
        <f t="shared" ref="C242:C245" si="68">100-B242</f>
        <v>94.318181818181813</v>
      </c>
      <c r="D242" s="103">
        <f t="shared" si="64"/>
        <v>6.024096385542169</v>
      </c>
      <c r="E242" s="267" t="s">
        <v>242</v>
      </c>
      <c r="F242" s="266" t="s">
        <v>241</v>
      </c>
      <c r="G242" s="141">
        <v>45</v>
      </c>
    </row>
    <row r="243" spans="1:7" ht="15.75" x14ac:dyDescent="0.25">
      <c r="A243" s="259" t="s">
        <v>51</v>
      </c>
      <c r="B243" s="48">
        <v>4.9019607843137258</v>
      </c>
      <c r="C243" s="48">
        <f t="shared" si="68"/>
        <v>95.098039215686271</v>
      </c>
      <c r="D243" s="103">
        <f t="shared" si="64"/>
        <v>5.1546391752577323</v>
      </c>
      <c r="E243" s="267" t="s">
        <v>242</v>
      </c>
      <c r="F243" s="266" t="s">
        <v>241</v>
      </c>
      <c r="G243" s="141">
        <v>46</v>
      </c>
    </row>
    <row r="244" spans="1:7" ht="15.75" x14ac:dyDescent="0.25">
      <c r="A244" s="259" t="s">
        <v>98</v>
      </c>
      <c r="B244" s="48">
        <v>1.8433179723502304</v>
      </c>
      <c r="C244" s="48">
        <f t="shared" si="68"/>
        <v>98.156682027649765</v>
      </c>
      <c r="D244" s="103">
        <f t="shared" si="64"/>
        <v>1.8779342723004695</v>
      </c>
      <c r="E244" s="266" t="s">
        <v>241</v>
      </c>
      <c r="F244" s="266" t="s">
        <v>241</v>
      </c>
      <c r="G244" s="141">
        <v>47</v>
      </c>
    </row>
    <row r="245" spans="1:7" ht="16.5" thickBot="1" x14ac:dyDescent="0.3">
      <c r="A245" s="260" t="s">
        <v>52</v>
      </c>
      <c r="B245" s="66">
        <v>1.1904761904761905</v>
      </c>
      <c r="C245" s="66">
        <f t="shared" si="68"/>
        <v>98.80952380952381</v>
      </c>
      <c r="D245" s="105">
        <f t="shared" si="64"/>
        <v>1.2048192771084338</v>
      </c>
      <c r="E245" s="270" t="s">
        <v>241</v>
      </c>
      <c r="F245" s="270" t="s">
        <v>241</v>
      </c>
      <c r="G245" s="141">
        <v>48</v>
      </c>
    </row>
    <row r="246" spans="1:7" ht="32.25" thickTop="1" x14ac:dyDescent="0.25">
      <c r="A246" s="250" t="s">
        <v>53</v>
      </c>
      <c r="B246" s="119">
        <v>6.1507128309572296</v>
      </c>
      <c r="C246" s="119">
        <v>93.849287169042768</v>
      </c>
      <c r="D246" s="273">
        <f t="shared" si="64"/>
        <v>6.5538194444444446</v>
      </c>
      <c r="E246" s="274">
        <v>6.5538194444444446</v>
      </c>
      <c r="F246" s="271" t="s">
        <v>241</v>
      </c>
      <c r="G246" s="141">
        <v>49</v>
      </c>
    </row>
    <row r="247" spans="1:7" ht="15.75" x14ac:dyDescent="0.25">
      <c r="A247" s="261" t="s">
        <v>54</v>
      </c>
      <c r="B247" s="45">
        <v>1.6826923076923077</v>
      </c>
      <c r="C247" s="45">
        <f>100-B247</f>
        <v>98.317307692307693</v>
      </c>
      <c r="D247" s="103">
        <f t="shared" si="64"/>
        <v>1.7114914425427872</v>
      </c>
      <c r="E247" s="266" t="s">
        <v>241</v>
      </c>
      <c r="F247" s="266" t="s">
        <v>241</v>
      </c>
      <c r="G247" s="141">
        <v>50</v>
      </c>
    </row>
    <row r="248" spans="1:7" ht="15.75" x14ac:dyDescent="0.25">
      <c r="A248" s="261" t="s">
        <v>55</v>
      </c>
      <c r="B248" s="45">
        <v>13.223140495867769</v>
      </c>
      <c r="C248" s="45">
        <f t="shared" ref="C248:C252" si="69">100-B248</f>
        <v>86.776859504132233</v>
      </c>
      <c r="D248" s="103">
        <f t="shared" si="64"/>
        <v>15.238095238095239</v>
      </c>
      <c r="E248" s="267" t="s">
        <v>242</v>
      </c>
      <c r="F248" s="267" t="s">
        <v>242</v>
      </c>
      <c r="G248" s="141">
        <v>51</v>
      </c>
    </row>
    <row r="249" spans="1:7" ht="15.75" x14ac:dyDescent="0.25">
      <c r="A249" s="261" t="s">
        <v>56</v>
      </c>
      <c r="B249" s="45">
        <v>5.8823529411764701</v>
      </c>
      <c r="C249" s="45">
        <f t="shared" si="69"/>
        <v>94.117647058823536</v>
      </c>
      <c r="D249" s="103">
        <f t="shared" si="64"/>
        <v>6.2499999999999991</v>
      </c>
      <c r="E249" s="266" t="s">
        <v>241</v>
      </c>
      <c r="F249" s="266" t="s">
        <v>241</v>
      </c>
      <c r="G249" s="141">
        <v>52</v>
      </c>
    </row>
    <row r="250" spans="1:7" ht="15.75" x14ac:dyDescent="0.25">
      <c r="A250" s="251" t="s">
        <v>100</v>
      </c>
      <c r="B250" s="45">
        <v>4.2810098792535678</v>
      </c>
      <c r="C250" s="45">
        <f t="shared" si="69"/>
        <v>95.718990120746426</v>
      </c>
      <c r="D250" s="103">
        <f t="shared" si="64"/>
        <v>4.4724770642201843</v>
      </c>
      <c r="E250" s="266" t="s">
        <v>241</v>
      </c>
      <c r="F250" s="266" t="s">
        <v>241</v>
      </c>
      <c r="G250" s="141">
        <v>53</v>
      </c>
    </row>
    <row r="251" spans="1:7" ht="15.75" x14ac:dyDescent="0.25">
      <c r="A251" s="261" t="s">
        <v>57</v>
      </c>
      <c r="B251" s="45">
        <v>0.33003300330033003</v>
      </c>
      <c r="C251" s="45">
        <f t="shared" si="69"/>
        <v>99.669966996699671</v>
      </c>
      <c r="D251" s="103">
        <f t="shared" si="64"/>
        <v>0.33112582781456956</v>
      </c>
      <c r="E251" s="266" t="s">
        <v>241</v>
      </c>
      <c r="F251" s="266" t="s">
        <v>241</v>
      </c>
      <c r="G251" s="141">
        <v>54</v>
      </c>
    </row>
    <row r="252" spans="1:7" ht="15.75" x14ac:dyDescent="0.25">
      <c r="A252" s="251" t="s">
        <v>99</v>
      </c>
      <c r="B252" s="45">
        <v>2.4054982817869415</v>
      </c>
      <c r="C252" s="45">
        <f t="shared" si="69"/>
        <v>97.594501718213053</v>
      </c>
      <c r="D252" s="103">
        <f t="shared" si="64"/>
        <v>2.4647887323943665</v>
      </c>
      <c r="E252" s="266" t="s">
        <v>241</v>
      </c>
      <c r="F252" s="266" t="s">
        <v>241</v>
      </c>
      <c r="G252" s="141">
        <v>55</v>
      </c>
    </row>
    <row r="253" spans="1:7" ht="15.75" x14ac:dyDescent="0.25">
      <c r="A253" s="261" t="s">
        <v>58</v>
      </c>
      <c r="B253" s="268">
        <v>0</v>
      </c>
      <c r="C253" s="268">
        <v>100</v>
      </c>
      <c r="D253" s="249">
        <f t="shared" si="64"/>
        <v>0</v>
      </c>
      <c r="E253" s="280" t="s">
        <v>243</v>
      </c>
      <c r="F253" s="281"/>
      <c r="G253" s="141">
        <v>56</v>
      </c>
    </row>
    <row r="254" spans="1:7" ht="15.75" x14ac:dyDescent="0.25">
      <c r="A254" s="261" t="s">
        <v>59</v>
      </c>
      <c r="B254" s="45">
        <v>16.300940438871475</v>
      </c>
      <c r="C254" s="45">
        <f>100-B254</f>
        <v>83.699059561128522</v>
      </c>
      <c r="D254" s="103">
        <f t="shared" si="64"/>
        <v>19.475655430711612</v>
      </c>
      <c r="E254" s="267" t="s">
        <v>242</v>
      </c>
      <c r="F254" s="267" t="s">
        <v>242</v>
      </c>
      <c r="G254" s="141">
        <v>57</v>
      </c>
    </row>
    <row r="255" spans="1:7" ht="15.75" x14ac:dyDescent="0.25">
      <c r="A255" s="261" t="s">
        <v>60</v>
      </c>
      <c r="B255" s="45">
        <v>16.139240506329113</v>
      </c>
      <c r="C255" s="45">
        <f>100-B255</f>
        <v>83.860759493670884</v>
      </c>
      <c r="D255" s="103">
        <f t="shared" si="64"/>
        <v>19.245283018867923</v>
      </c>
      <c r="E255" s="267" t="s">
        <v>242</v>
      </c>
      <c r="F255" s="267" t="s">
        <v>242</v>
      </c>
      <c r="G255" s="141">
        <v>58</v>
      </c>
    </row>
    <row r="256" spans="1:7" ht="15.75" x14ac:dyDescent="0.25">
      <c r="A256" s="261" t="s">
        <v>61</v>
      </c>
      <c r="B256" s="268">
        <v>0</v>
      </c>
      <c r="C256" s="268">
        <v>100</v>
      </c>
      <c r="D256" s="249">
        <f t="shared" si="64"/>
        <v>0</v>
      </c>
      <c r="E256" s="280" t="s">
        <v>243</v>
      </c>
      <c r="F256" s="281"/>
      <c r="G256" s="141">
        <v>59</v>
      </c>
    </row>
    <row r="257" spans="1:7" ht="15.75" x14ac:dyDescent="0.25">
      <c r="A257" s="261" t="s">
        <v>62</v>
      </c>
      <c r="B257" s="45">
        <v>8.3333333333333339</v>
      </c>
      <c r="C257" s="45">
        <f>100-B257</f>
        <v>91.666666666666671</v>
      </c>
      <c r="D257" s="103">
        <f t="shared" si="64"/>
        <v>9.0909090909090917</v>
      </c>
      <c r="E257" s="267" t="s">
        <v>242</v>
      </c>
      <c r="F257" s="267" t="s">
        <v>242</v>
      </c>
      <c r="G257" s="141">
        <v>60</v>
      </c>
    </row>
    <row r="258" spans="1:7" ht="15.75" x14ac:dyDescent="0.25">
      <c r="A258" s="261" t="s">
        <v>63</v>
      </c>
      <c r="B258" s="45">
        <v>4.0540540540540544</v>
      </c>
      <c r="C258" s="45">
        <f t="shared" ref="C258:C260" si="70">100-B258</f>
        <v>95.945945945945951</v>
      </c>
      <c r="D258" s="103">
        <f t="shared" si="64"/>
        <v>4.225352112676056</v>
      </c>
      <c r="E258" s="266" t="s">
        <v>241</v>
      </c>
      <c r="F258" s="266" t="s">
        <v>241</v>
      </c>
      <c r="G258" s="141">
        <v>61</v>
      </c>
    </row>
    <row r="259" spans="1:7" ht="15.75" x14ac:dyDescent="0.25">
      <c r="A259" s="261" t="s">
        <v>64</v>
      </c>
      <c r="B259" s="45">
        <v>12.662337662337663</v>
      </c>
      <c r="C259" s="45">
        <f t="shared" si="70"/>
        <v>87.337662337662337</v>
      </c>
      <c r="D259" s="103">
        <f t="shared" si="64"/>
        <v>14.49814126394052</v>
      </c>
      <c r="E259" s="267" t="s">
        <v>242</v>
      </c>
      <c r="F259" s="267" t="s">
        <v>242</v>
      </c>
      <c r="G259" s="141">
        <v>62</v>
      </c>
    </row>
    <row r="260" spans="1:7" ht="16.5" thickBot="1" x14ac:dyDescent="0.3">
      <c r="A260" s="262" t="s">
        <v>65</v>
      </c>
      <c r="B260" s="57">
        <v>21.67832167832168</v>
      </c>
      <c r="C260" s="57">
        <f t="shared" si="70"/>
        <v>78.32167832167832</v>
      </c>
      <c r="D260" s="105">
        <f t="shared" si="64"/>
        <v>27.678571428571431</v>
      </c>
      <c r="E260" s="272" t="s">
        <v>242</v>
      </c>
      <c r="F260" s="272" t="s">
        <v>242</v>
      </c>
      <c r="G260" s="141">
        <v>63</v>
      </c>
    </row>
    <row r="261" spans="1:7" ht="16.5" thickTop="1" x14ac:dyDescent="0.25">
      <c r="A261" s="250" t="s">
        <v>66</v>
      </c>
      <c r="B261" s="119">
        <v>7.2985781990521321</v>
      </c>
      <c r="C261" s="119">
        <v>92.701421800947855</v>
      </c>
      <c r="D261" s="273">
        <f t="shared" si="64"/>
        <v>7.8732106339468313</v>
      </c>
      <c r="E261" s="274">
        <v>7.8732106339468313</v>
      </c>
      <c r="F261" s="271" t="s">
        <v>241</v>
      </c>
      <c r="G261" s="141">
        <v>64</v>
      </c>
    </row>
    <row r="262" spans="1:7" ht="15.75" x14ac:dyDescent="0.25">
      <c r="A262" s="261" t="s">
        <v>67</v>
      </c>
      <c r="B262" s="48">
        <v>3.542234332425068</v>
      </c>
      <c r="C262" s="48">
        <f>100-B262</f>
        <v>96.457765667574932</v>
      </c>
      <c r="D262" s="103">
        <f t="shared" si="64"/>
        <v>3.6723163841807911</v>
      </c>
      <c r="E262" s="266" t="s">
        <v>241</v>
      </c>
      <c r="F262" s="266" t="s">
        <v>241</v>
      </c>
      <c r="G262" s="141">
        <v>65</v>
      </c>
    </row>
    <row r="263" spans="1:7" ht="15.75" x14ac:dyDescent="0.25">
      <c r="A263" s="261" t="s">
        <v>68</v>
      </c>
      <c r="B263" s="48">
        <v>23.80952380952381</v>
      </c>
      <c r="C263" s="48">
        <f>100-B263</f>
        <v>76.19047619047619</v>
      </c>
      <c r="D263" s="103">
        <f t="shared" si="64"/>
        <v>31.25</v>
      </c>
      <c r="E263" s="267" t="s">
        <v>242</v>
      </c>
      <c r="F263" s="267" t="s">
        <v>242</v>
      </c>
      <c r="G263" s="141">
        <v>66</v>
      </c>
    </row>
    <row r="264" spans="1:7" ht="15.75" x14ac:dyDescent="0.25">
      <c r="A264" s="261" t="s">
        <v>132</v>
      </c>
      <c r="B264" s="48">
        <f>AVERAGE(B265:B267)</f>
        <v>15.203671830177862</v>
      </c>
      <c r="C264" s="48">
        <f>AVERAGE(C265:C267)</f>
        <v>84.796328169822132</v>
      </c>
      <c r="D264" s="103">
        <f t="shared" si="64"/>
        <v>17.929634641407318</v>
      </c>
      <c r="E264" s="267" t="s">
        <v>242</v>
      </c>
      <c r="F264" s="267" t="s">
        <v>242</v>
      </c>
      <c r="G264" s="141">
        <v>67</v>
      </c>
    </row>
    <row r="265" spans="1:7" ht="30.75" x14ac:dyDescent="0.25">
      <c r="A265" s="263" t="s">
        <v>109</v>
      </c>
      <c r="B265" s="48">
        <v>31.325301204819301</v>
      </c>
      <c r="C265" s="48">
        <f>100-B265</f>
        <v>68.674698795180703</v>
      </c>
      <c r="D265" s="103">
        <f t="shared" si="64"/>
        <v>45.614035087719344</v>
      </c>
      <c r="E265" s="267" t="s">
        <v>242</v>
      </c>
      <c r="F265" s="267" t="s">
        <v>242</v>
      </c>
      <c r="G265" s="141">
        <v>68</v>
      </c>
    </row>
    <row r="266" spans="1:7" ht="15.75" x14ac:dyDescent="0.25">
      <c r="A266" s="263" t="s">
        <v>110</v>
      </c>
      <c r="B266" s="48">
        <v>14.285714285714286</v>
      </c>
      <c r="C266" s="48">
        <f>100-B266</f>
        <v>85.714285714285708</v>
      </c>
      <c r="D266" s="103">
        <f t="shared" ref="D266:D291" si="71">B266/C266*100</f>
        <v>16.666666666666668</v>
      </c>
      <c r="E266" s="267" t="s">
        <v>242</v>
      </c>
      <c r="F266" s="267" t="s">
        <v>242</v>
      </c>
      <c r="G266" s="141">
        <v>69</v>
      </c>
    </row>
    <row r="267" spans="1:7" ht="30.75" x14ac:dyDescent="0.25">
      <c r="A267" s="263" t="s">
        <v>111</v>
      </c>
      <c r="B267" s="268">
        <v>0</v>
      </c>
      <c r="C267" s="268">
        <v>100</v>
      </c>
      <c r="D267" s="249">
        <f t="shared" si="71"/>
        <v>0</v>
      </c>
      <c r="E267" s="280" t="s">
        <v>243</v>
      </c>
      <c r="F267" s="281"/>
      <c r="G267" s="141">
        <v>70</v>
      </c>
    </row>
    <row r="268" spans="1:7" ht="16.5" thickBot="1" x14ac:dyDescent="0.3">
      <c r="A268" s="262" t="s">
        <v>70</v>
      </c>
      <c r="B268" s="66">
        <v>10.037174721189592</v>
      </c>
      <c r="C268" s="66">
        <f>100-B268</f>
        <v>89.962825278810413</v>
      </c>
      <c r="D268" s="105">
        <f t="shared" si="71"/>
        <v>11.15702479338843</v>
      </c>
      <c r="E268" s="272" t="s">
        <v>242</v>
      </c>
      <c r="F268" s="272" t="s">
        <v>242</v>
      </c>
      <c r="G268" s="141">
        <v>71</v>
      </c>
    </row>
    <row r="269" spans="1:7" ht="16.5" thickTop="1" x14ac:dyDescent="0.25">
      <c r="A269" s="250" t="s">
        <v>71</v>
      </c>
      <c r="B269" s="119">
        <v>5.6944444444444446</v>
      </c>
      <c r="C269" s="119">
        <v>94.305555555555557</v>
      </c>
      <c r="D269" s="273">
        <f t="shared" si="71"/>
        <v>6.0382916053019144</v>
      </c>
      <c r="E269" s="274">
        <v>6.0382916053019144</v>
      </c>
      <c r="F269" s="271" t="s">
        <v>241</v>
      </c>
      <c r="G269" s="141">
        <v>72</v>
      </c>
    </row>
    <row r="270" spans="1:7" ht="15.75" x14ac:dyDescent="0.25">
      <c r="A270" s="261" t="s">
        <v>72</v>
      </c>
      <c r="B270" s="268">
        <v>0</v>
      </c>
      <c r="C270" s="268">
        <v>100</v>
      </c>
      <c r="D270" s="249">
        <f t="shared" si="71"/>
        <v>0</v>
      </c>
      <c r="E270" s="280" t="s">
        <v>243</v>
      </c>
      <c r="F270" s="281"/>
      <c r="G270" s="141">
        <v>73</v>
      </c>
    </row>
    <row r="271" spans="1:7" ht="15.75" x14ac:dyDescent="0.25">
      <c r="A271" s="261" t="s">
        <v>73</v>
      </c>
      <c r="B271" s="48">
        <v>3.2258064516129035</v>
      </c>
      <c r="C271" s="48">
        <f>100-B271</f>
        <v>96.774193548387103</v>
      </c>
      <c r="D271" s="103">
        <f t="shared" si="71"/>
        <v>3.3333333333333335</v>
      </c>
      <c r="E271" s="266" t="s">
        <v>241</v>
      </c>
      <c r="F271" s="266" t="s">
        <v>241</v>
      </c>
      <c r="G271" s="141">
        <v>74</v>
      </c>
    </row>
    <row r="272" spans="1:7" ht="15.75" x14ac:dyDescent="0.25">
      <c r="A272" s="261" t="s">
        <v>74</v>
      </c>
      <c r="B272" s="48">
        <v>4.5977011494252871</v>
      </c>
      <c r="C272" s="48">
        <f t="shared" ref="C272:C279" si="72">100-B272</f>
        <v>95.402298850574709</v>
      </c>
      <c r="D272" s="103">
        <f t="shared" si="71"/>
        <v>4.8192771084337345</v>
      </c>
      <c r="E272" s="266" t="s">
        <v>241</v>
      </c>
      <c r="F272" s="266" t="s">
        <v>241</v>
      </c>
      <c r="G272" s="141">
        <v>75</v>
      </c>
    </row>
    <row r="273" spans="1:7" ht="15.75" x14ac:dyDescent="0.25">
      <c r="A273" s="261" t="s">
        <v>75</v>
      </c>
      <c r="B273" s="48">
        <v>1.0802469135802468</v>
      </c>
      <c r="C273" s="48">
        <f t="shared" si="72"/>
        <v>98.919753086419746</v>
      </c>
      <c r="D273" s="103">
        <f t="shared" si="71"/>
        <v>1.0920436817472698</v>
      </c>
      <c r="E273" s="266" t="s">
        <v>241</v>
      </c>
      <c r="F273" s="266" t="s">
        <v>241</v>
      </c>
      <c r="G273" s="141">
        <v>76</v>
      </c>
    </row>
    <row r="274" spans="1:7" ht="15.75" x14ac:dyDescent="0.25">
      <c r="A274" s="261" t="s">
        <v>76</v>
      </c>
      <c r="B274" s="48">
        <v>5.1181102362204722</v>
      </c>
      <c r="C274" s="48">
        <f t="shared" si="72"/>
        <v>94.881889763779526</v>
      </c>
      <c r="D274" s="103">
        <f t="shared" si="71"/>
        <v>5.3941908713692941</v>
      </c>
      <c r="E274" s="266" t="s">
        <v>241</v>
      </c>
      <c r="F274" s="266" t="s">
        <v>241</v>
      </c>
      <c r="G274" s="141">
        <v>77</v>
      </c>
    </row>
    <row r="275" spans="1:7" ht="15.75" x14ac:dyDescent="0.25">
      <c r="A275" s="261" t="s">
        <v>77</v>
      </c>
      <c r="B275" s="48">
        <v>14.077669902912621</v>
      </c>
      <c r="C275" s="48">
        <f t="shared" si="72"/>
        <v>85.922330097087382</v>
      </c>
      <c r="D275" s="103">
        <f t="shared" si="71"/>
        <v>16.38418079096045</v>
      </c>
      <c r="E275" s="267" t="s">
        <v>242</v>
      </c>
      <c r="F275" s="267" t="s">
        <v>242</v>
      </c>
      <c r="G275" s="141">
        <v>78</v>
      </c>
    </row>
    <row r="276" spans="1:7" ht="15.75" x14ac:dyDescent="0.25">
      <c r="A276" s="251" t="s">
        <v>101</v>
      </c>
      <c r="B276" s="48">
        <v>20</v>
      </c>
      <c r="C276" s="48">
        <f t="shared" si="72"/>
        <v>80</v>
      </c>
      <c r="D276" s="103">
        <f t="shared" si="71"/>
        <v>25</v>
      </c>
      <c r="E276" s="267" t="s">
        <v>242</v>
      </c>
      <c r="F276" s="267" t="s">
        <v>242</v>
      </c>
      <c r="G276" s="141">
        <v>79</v>
      </c>
    </row>
    <row r="277" spans="1:7" ht="15.75" x14ac:dyDescent="0.25">
      <c r="A277" s="261" t="s">
        <v>78</v>
      </c>
      <c r="B277" s="48">
        <v>5.7142857142857144</v>
      </c>
      <c r="C277" s="48">
        <f t="shared" si="72"/>
        <v>94.285714285714292</v>
      </c>
      <c r="D277" s="103">
        <f t="shared" si="71"/>
        <v>6.0606060606060597</v>
      </c>
      <c r="E277" s="267" t="s">
        <v>242</v>
      </c>
      <c r="F277" s="266" t="s">
        <v>241</v>
      </c>
      <c r="G277" s="141">
        <v>80</v>
      </c>
    </row>
    <row r="278" spans="1:7" ht="15.75" x14ac:dyDescent="0.25">
      <c r="A278" s="261" t="s">
        <v>79</v>
      </c>
      <c r="B278" s="48">
        <v>6.666666666666667</v>
      </c>
      <c r="C278" s="48">
        <f t="shared" si="72"/>
        <v>93.333333333333329</v>
      </c>
      <c r="D278" s="103">
        <f t="shared" si="71"/>
        <v>7.1428571428571441</v>
      </c>
      <c r="E278" s="267" t="s">
        <v>242</v>
      </c>
      <c r="F278" s="266" t="s">
        <v>241</v>
      </c>
      <c r="G278" s="141">
        <v>81</v>
      </c>
    </row>
    <row r="279" spans="1:7" ht="16.5" thickBot="1" x14ac:dyDescent="0.3">
      <c r="A279" s="264" t="s">
        <v>80</v>
      </c>
      <c r="B279" s="57">
        <v>2.6086956521739131</v>
      </c>
      <c r="C279" s="66">
        <f t="shared" si="72"/>
        <v>97.391304347826093</v>
      </c>
      <c r="D279" s="105">
        <f t="shared" si="71"/>
        <v>2.6785714285714284</v>
      </c>
      <c r="E279" s="270" t="s">
        <v>241</v>
      </c>
      <c r="F279" s="270" t="s">
        <v>241</v>
      </c>
      <c r="G279" s="141">
        <v>82</v>
      </c>
    </row>
    <row r="280" spans="1:7" ht="32.25" thickTop="1" x14ac:dyDescent="0.25">
      <c r="A280" s="250" t="s">
        <v>81</v>
      </c>
      <c r="B280" s="121">
        <v>10.51415366839977</v>
      </c>
      <c r="C280" s="121">
        <v>89.485846331600243</v>
      </c>
      <c r="D280" s="273">
        <f t="shared" si="71"/>
        <v>11.749515816655906</v>
      </c>
      <c r="E280" s="274">
        <v>11.749515816655906</v>
      </c>
      <c r="F280" s="269" t="s">
        <v>242</v>
      </c>
      <c r="G280" s="141">
        <v>83</v>
      </c>
    </row>
    <row r="281" spans="1:7" ht="15.75" x14ac:dyDescent="0.25">
      <c r="A281" s="261" t="s">
        <v>82</v>
      </c>
      <c r="B281" s="48">
        <v>6.0836501901140689</v>
      </c>
      <c r="C281" s="48">
        <f>100-B281</f>
        <v>93.916349809885929</v>
      </c>
      <c r="D281" s="103">
        <f t="shared" si="71"/>
        <v>6.4777327935222671</v>
      </c>
      <c r="E281" s="266" t="s">
        <v>241</v>
      </c>
      <c r="F281" s="266" t="s">
        <v>241</v>
      </c>
      <c r="G281" s="141">
        <v>84</v>
      </c>
    </row>
    <row r="282" spans="1:7" ht="15.75" x14ac:dyDescent="0.25">
      <c r="A282" s="261" t="s">
        <v>83</v>
      </c>
      <c r="B282" s="48">
        <v>11.735941320293399</v>
      </c>
      <c r="C282" s="48">
        <f t="shared" ref="C282:C287" si="73">100-B282</f>
        <v>88.264058679706608</v>
      </c>
      <c r="D282" s="103">
        <f t="shared" si="71"/>
        <v>13.29639889196676</v>
      </c>
      <c r="E282" s="267" t="s">
        <v>242</v>
      </c>
      <c r="F282" s="267" t="s">
        <v>242</v>
      </c>
      <c r="G282" s="141">
        <v>85</v>
      </c>
    </row>
    <row r="283" spans="1:7" ht="15.75" x14ac:dyDescent="0.25">
      <c r="A283" s="261" t="s">
        <v>84</v>
      </c>
      <c r="B283" s="48">
        <v>11.2</v>
      </c>
      <c r="C283" s="48">
        <f t="shared" si="73"/>
        <v>88.8</v>
      </c>
      <c r="D283" s="103">
        <f t="shared" si="71"/>
        <v>12.612612612612612</v>
      </c>
      <c r="E283" s="267" t="s">
        <v>242</v>
      </c>
      <c r="F283" s="267" t="s">
        <v>242</v>
      </c>
      <c r="G283" s="141">
        <v>86</v>
      </c>
    </row>
    <row r="284" spans="1:7" ht="15.75" x14ac:dyDescent="0.25">
      <c r="A284" s="261" t="s">
        <v>85</v>
      </c>
      <c r="B284" s="48">
        <v>7.8431372549019605</v>
      </c>
      <c r="C284" s="48">
        <f t="shared" si="73"/>
        <v>92.156862745098039</v>
      </c>
      <c r="D284" s="103">
        <f t="shared" si="71"/>
        <v>8.5106382978723403</v>
      </c>
      <c r="E284" s="266" t="s">
        <v>241</v>
      </c>
      <c r="F284" s="267" t="s">
        <v>242</v>
      </c>
      <c r="G284" s="141">
        <v>87</v>
      </c>
    </row>
    <row r="285" spans="1:7" ht="15.75" x14ac:dyDescent="0.25">
      <c r="A285" s="261" t="s">
        <v>86</v>
      </c>
      <c r="B285" s="48">
        <v>19.298245614035089</v>
      </c>
      <c r="C285" s="48">
        <f t="shared" si="73"/>
        <v>80.701754385964904</v>
      </c>
      <c r="D285" s="103">
        <f t="shared" si="71"/>
        <v>23.913043478260875</v>
      </c>
      <c r="E285" s="267" t="s">
        <v>242</v>
      </c>
      <c r="F285" s="267" t="s">
        <v>242</v>
      </c>
      <c r="G285" s="141">
        <v>88</v>
      </c>
    </row>
    <row r="286" spans="1:7" ht="15.75" x14ac:dyDescent="0.25">
      <c r="A286" s="261" t="s">
        <v>87</v>
      </c>
      <c r="B286" s="48">
        <v>10.328638497652582</v>
      </c>
      <c r="C286" s="48">
        <f t="shared" si="73"/>
        <v>89.671361502347423</v>
      </c>
      <c r="D286" s="103">
        <f t="shared" si="71"/>
        <v>11.518324607329843</v>
      </c>
      <c r="E286" s="266" t="s">
        <v>241</v>
      </c>
      <c r="F286" s="267" t="s">
        <v>242</v>
      </c>
      <c r="G286" s="141">
        <v>89</v>
      </c>
    </row>
    <row r="287" spans="1:7" ht="15.75" x14ac:dyDescent="0.25">
      <c r="A287" s="261" t="s">
        <v>88</v>
      </c>
      <c r="B287" s="48">
        <v>5.859375</v>
      </c>
      <c r="C287" s="48">
        <f t="shared" si="73"/>
        <v>94.140625</v>
      </c>
      <c r="D287" s="103">
        <f t="shared" si="71"/>
        <v>6.2240663900414939</v>
      </c>
      <c r="E287" s="266" t="s">
        <v>241</v>
      </c>
      <c r="F287" s="266" t="s">
        <v>241</v>
      </c>
      <c r="G287" s="141">
        <v>90</v>
      </c>
    </row>
    <row r="288" spans="1:7" ht="15.75" x14ac:dyDescent="0.25">
      <c r="A288" s="261" t="s">
        <v>89</v>
      </c>
      <c r="B288" s="47">
        <v>0</v>
      </c>
      <c r="C288" s="47">
        <v>0</v>
      </c>
      <c r="D288" s="279" t="s">
        <v>244</v>
      </c>
      <c r="E288" s="282" t="s">
        <v>244</v>
      </c>
      <c r="F288" s="283"/>
      <c r="G288" s="141">
        <v>91</v>
      </c>
    </row>
    <row r="289" spans="1:7" ht="15.75" x14ac:dyDescent="0.25">
      <c r="A289" s="261" t="s">
        <v>90</v>
      </c>
      <c r="B289" s="47">
        <v>0</v>
      </c>
      <c r="C289" s="47">
        <v>0</v>
      </c>
      <c r="D289" s="279" t="s">
        <v>244</v>
      </c>
      <c r="E289" s="282" t="s">
        <v>244</v>
      </c>
      <c r="F289" s="283"/>
      <c r="G289" s="141">
        <v>92</v>
      </c>
    </row>
    <row r="290" spans="1:7" ht="16.5" thickBot="1" x14ac:dyDescent="0.3">
      <c r="A290" s="261" t="s">
        <v>91</v>
      </c>
      <c r="B290" s="48">
        <v>37.037037037037038</v>
      </c>
      <c r="C290" s="48">
        <f>100-B290</f>
        <v>62.962962962962962</v>
      </c>
      <c r="D290" s="103">
        <f t="shared" si="71"/>
        <v>58.82352941176471</v>
      </c>
      <c r="E290" s="267" t="s">
        <v>242</v>
      </c>
      <c r="F290" s="267" t="s">
        <v>242</v>
      </c>
      <c r="G290" s="142">
        <v>93</v>
      </c>
    </row>
    <row r="291" spans="1:7" ht="16.5" thickBot="1" x14ac:dyDescent="0.3">
      <c r="A291" s="265" t="s">
        <v>92</v>
      </c>
      <c r="B291" s="97">
        <v>13.043478260869565</v>
      </c>
      <c r="C291" s="97">
        <f>100-B291</f>
        <v>86.956521739130437</v>
      </c>
      <c r="D291" s="118">
        <f t="shared" si="71"/>
        <v>15</v>
      </c>
      <c r="E291" s="267" t="s">
        <v>242</v>
      </c>
      <c r="F291" s="267" t="s">
        <v>242</v>
      </c>
      <c r="G291" s="142">
        <v>94</v>
      </c>
    </row>
    <row r="292" spans="1:7" x14ac:dyDescent="0.2">
      <c r="G292" s="174"/>
    </row>
  </sheetData>
  <mergeCells count="25">
    <mergeCell ref="K15:M15"/>
    <mergeCell ref="S10:S11"/>
    <mergeCell ref="H204:J204"/>
    <mergeCell ref="A1:H1"/>
    <mergeCell ref="A99:H99"/>
    <mergeCell ref="I199:I200"/>
    <mergeCell ref="K2:AD2"/>
    <mergeCell ref="K3:AD4"/>
    <mergeCell ref="K100:AD100"/>
    <mergeCell ref="K101:AD102"/>
    <mergeCell ref="A196:F196"/>
    <mergeCell ref="E198:F198"/>
    <mergeCell ref="A197:A198"/>
    <mergeCell ref="B197:B198"/>
    <mergeCell ref="C197:C198"/>
    <mergeCell ref="D197:D198"/>
    <mergeCell ref="E270:F270"/>
    <mergeCell ref="E288:F288"/>
    <mergeCell ref="E289:F289"/>
    <mergeCell ref="E225:F225"/>
    <mergeCell ref="E210:F210"/>
    <mergeCell ref="E240:F240"/>
    <mergeCell ref="E253:F253"/>
    <mergeCell ref="E256:F256"/>
    <mergeCell ref="E267:F26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4"/>
  <sheetViews>
    <sheetView view="pageBreakPreview" zoomScale="115" zoomScaleNormal="100" zoomScaleSheetLayoutView="115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I7" sqref="I7"/>
    </sheetView>
  </sheetViews>
  <sheetFormatPr defaultColWidth="19.28515625" defaultRowHeight="12.75" x14ac:dyDescent="0.2"/>
  <cols>
    <col min="1" max="1" width="25.7109375" style="3" customWidth="1"/>
    <col min="2" max="2" width="8.5703125" style="4" customWidth="1"/>
    <col min="3" max="3" width="13.5703125" style="4" customWidth="1"/>
    <col min="4" max="4" width="12.28515625" style="4" customWidth="1"/>
    <col min="5" max="5" width="8.5703125" style="4" customWidth="1"/>
    <col min="6" max="6" width="14.42578125" style="4" customWidth="1"/>
    <col min="7" max="7" width="13.7109375" style="4" customWidth="1"/>
    <col min="8" max="8" width="14.85546875" style="4" customWidth="1"/>
    <col min="9" max="10" width="8.5703125" style="4" customWidth="1"/>
  </cols>
  <sheetData>
    <row r="1" spans="1:26" ht="43.5" customHeight="1" x14ac:dyDescent="0.2">
      <c r="A1" s="316" t="s">
        <v>102</v>
      </c>
      <c r="B1" s="316"/>
      <c r="C1" s="316"/>
      <c r="D1" s="316"/>
      <c r="E1" s="316"/>
      <c r="F1" s="316"/>
      <c r="G1" s="316"/>
      <c r="H1" s="316"/>
      <c r="I1" s="316"/>
      <c r="J1" s="316"/>
      <c r="K1" s="319" t="s">
        <v>118</v>
      </c>
      <c r="L1" s="317"/>
      <c r="M1" s="317"/>
      <c r="N1" s="317"/>
      <c r="O1" s="317"/>
      <c r="Q1" s="319" t="s">
        <v>122</v>
      </c>
      <c r="R1" s="319"/>
      <c r="S1" s="319"/>
    </row>
    <row r="2" spans="1:26" x14ac:dyDescent="0.2">
      <c r="A2" s="1"/>
      <c r="B2" s="1"/>
      <c r="C2" s="1"/>
      <c r="D2" s="1"/>
      <c r="E2" s="1"/>
      <c r="F2" s="1"/>
      <c r="G2" s="1"/>
      <c r="H2" s="1"/>
      <c r="I2" s="1"/>
      <c r="J2" s="1"/>
    </row>
    <row r="3" spans="1:26" ht="12.75" customHeight="1" x14ac:dyDescent="0.2">
      <c r="A3" s="315"/>
      <c r="B3" s="310" t="s">
        <v>0</v>
      </c>
      <c r="C3" s="311"/>
      <c r="D3" s="311"/>
      <c r="E3" s="311"/>
      <c r="F3" s="311"/>
      <c r="G3" s="311"/>
      <c r="H3" s="311"/>
      <c r="I3" s="311"/>
      <c r="J3" s="312"/>
      <c r="K3" s="325" t="s">
        <v>119</v>
      </c>
      <c r="L3" s="318"/>
      <c r="M3" s="318"/>
      <c r="N3" s="318"/>
      <c r="O3" s="318"/>
      <c r="Q3" s="318" t="s">
        <v>121</v>
      </c>
      <c r="R3" s="318"/>
      <c r="S3" s="318"/>
    </row>
    <row r="4" spans="1:26" ht="12.75" customHeight="1" x14ac:dyDescent="0.2">
      <c r="A4" s="315"/>
      <c r="B4" s="313" t="s">
        <v>1</v>
      </c>
      <c r="C4" s="314" t="s">
        <v>2</v>
      </c>
      <c r="D4" s="313"/>
      <c r="E4" s="313"/>
      <c r="F4" s="313"/>
      <c r="G4" s="313"/>
      <c r="H4" s="313"/>
      <c r="I4" s="313"/>
      <c r="J4" s="313"/>
      <c r="K4" s="326" t="s">
        <v>2</v>
      </c>
      <c r="L4" s="317"/>
      <c r="M4" s="317"/>
      <c r="N4" s="317"/>
      <c r="Q4" s="317" t="s">
        <v>2</v>
      </c>
      <c r="R4" s="317"/>
    </row>
    <row r="5" spans="1:26" ht="90.75" thickBot="1" x14ac:dyDescent="0.25">
      <c r="A5" s="315"/>
      <c r="B5" s="313"/>
      <c r="C5" s="5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19" t="s">
        <v>112</v>
      </c>
      <c r="L5" s="19" t="s">
        <v>113</v>
      </c>
      <c r="M5" s="19" t="s">
        <v>114</v>
      </c>
      <c r="N5" s="19" t="s">
        <v>115</v>
      </c>
      <c r="O5" s="19" t="s">
        <v>117</v>
      </c>
      <c r="P5" s="19" t="s">
        <v>147</v>
      </c>
      <c r="Q5" s="33" t="s">
        <v>124</v>
      </c>
      <c r="R5" s="33" t="s">
        <v>125</v>
      </c>
      <c r="S5" s="33" t="s">
        <v>120</v>
      </c>
    </row>
    <row r="6" spans="1:26" ht="15.75" thickBot="1" x14ac:dyDescent="0.3">
      <c r="A6" s="2" t="s">
        <v>12</v>
      </c>
      <c r="B6" s="2">
        <v>1</v>
      </c>
      <c r="C6" s="2">
        <v>2</v>
      </c>
      <c r="D6" s="2">
        <v>3</v>
      </c>
      <c r="E6" s="2">
        <v>4</v>
      </c>
      <c r="F6" s="2">
        <v>5</v>
      </c>
      <c r="G6" s="2">
        <v>6</v>
      </c>
      <c r="H6" s="2">
        <v>7</v>
      </c>
      <c r="I6" s="2">
        <v>8</v>
      </c>
      <c r="J6" s="20">
        <v>9</v>
      </c>
      <c r="K6" s="322" t="s">
        <v>116</v>
      </c>
      <c r="L6" s="323"/>
      <c r="M6" s="323"/>
      <c r="N6" s="324"/>
      <c r="O6" s="22"/>
      <c r="Q6" s="320" t="s">
        <v>123</v>
      </c>
      <c r="R6" s="321"/>
      <c r="T6" s="35"/>
    </row>
    <row r="7" spans="1:26" s="6" customFormat="1" x14ac:dyDescent="0.2">
      <c r="A7" s="13" t="s">
        <v>11</v>
      </c>
      <c r="B7" s="7">
        <v>20846</v>
      </c>
      <c r="C7" s="7">
        <v>1673</v>
      </c>
      <c r="D7" s="7">
        <v>33</v>
      </c>
      <c r="E7" s="7">
        <v>632</v>
      </c>
      <c r="F7" s="7">
        <v>3</v>
      </c>
      <c r="G7" s="7">
        <v>19</v>
      </c>
      <c r="H7" s="7">
        <v>267</v>
      </c>
      <c r="I7" s="7">
        <v>1398</v>
      </c>
      <c r="J7" s="7">
        <v>16821</v>
      </c>
      <c r="K7" s="23">
        <f>C7/(O7/100)</f>
        <v>71.465185818026484</v>
      </c>
      <c r="L7" s="24">
        <f>D7/(O7/100)</f>
        <v>1.4096539940196497</v>
      </c>
      <c r="M7" s="24">
        <f>E7/(O7/100)</f>
        <v>26.99700982486117</v>
      </c>
      <c r="N7" s="24">
        <f>F7/(O7/100)</f>
        <v>0.12815036309269542</v>
      </c>
      <c r="O7" s="22">
        <f>SUM(C7,D7,E7,F7)</f>
        <v>2341</v>
      </c>
      <c r="P7" s="32">
        <f>C7/((O7-O18-O35-O101-O102)/100)</f>
        <v>75.089766606822252</v>
      </c>
      <c r="Q7" s="34">
        <f>I7/(S7/100)</f>
        <v>7.6733080849662443</v>
      </c>
      <c r="R7" s="34">
        <f>J7/(S7/100)</f>
        <v>92.326691915033763</v>
      </c>
      <c r="S7">
        <f>SUM(I7,J7)</f>
        <v>18219</v>
      </c>
      <c r="T7" s="32"/>
      <c r="U7"/>
      <c r="V7"/>
      <c r="W7"/>
      <c r="X7"/>
      <c r="Y7"/>
      <c r="Z7"/>
    </row>
    <row r="8" spans="1:26" s="6" customFormat="1" ht="22.5" x14ac:dyDescent="0.2">
      <c r="A8" s="13" t="s">
        <v>13</v>
      </c>
      <c r="B8" s="7">
        <v>4017</v>
      </c>
      <c r="C8" s="7">
        <v>359</v>
      </c>
      <c r="D8" s="7">
        <v>4</v>
      </c>
      <c r="E8" s="7">
        <v>145</v>
      </c>
      <c r="F8" s="31">
        <v>0</v>
      </c>
      <c r="G8" s="8" t="s">
        <v>93</v>
      </c>
      <c r="H8" s="7">
        <v>146</v>
      </c>
      <c r="I8" s="7">
        <v>346</v>
      </c>
      <c r="J8" s="7">
        <v>3017</v>
      </c>
      <c r="K8" s="123">
        <f>C8/(O8/100)</f>
        <v>70.669291338582681</v>
      </c>
      <c r="L8" s="24">
        <f t="shared" ref="L8:L71" si="0">D8/(O8/100)</f>
        <v>0.78740157480314954</v>
      </c>
      <c r="M8" s="124">
        <f t="shared" ref="M8:M71" si="1">E8/(O8/100)</f>
        <v>28.543307086614174</v>
      </c>
      <c r="N8" s="24">
        <f t="shared" ref="N8:N71" si="2">F8/(O8/100)</f>
        <v>0</v>
      </c>
      <c r="O8" s="21">
        <f>SUM(C8,D8,E8,F8)</f>
        <v>508</v>
      </c>
      <c r="P8" s="32">
        <f>C8/((O8-O18)/100)</f>
        <v>80.85585585585585</v>
      </c>
      <c r="Q8" s="125">
        <f t="shared" ref="Q8:Q71" si="3">I8/(S8/100)</f>
        <v>10.288432946773714</v>
      </c>
      <c r="R8" s="125">
        <f t="shared" ref="R8:R71" si="4">J8/(S8/100)</f>
        <v>89.711567053226275</v>
      </c>
      <c r="S8">
        <f t="shared" ref="S8:S71" si="5">SUM(I8,J8)</f>
        <v>3363</v>
      </c>
      <c r="T8" s="32"/>
      <c r="U8"/>
      <c r="V8"/>
      <c r="W8"/>
      <c r="X8"/>
      <c r="Y8"/>
      <c r="Z8"/>
    </row>
    <row r="9" spans="1:26" x14ac:dyDescent="0.2">
      <c r="A9" s="14" t="s">
        <v>14</v>
      </c>
      <c r="B9" s="9">
        <v>212</v>
      </c>
      <c r="C9" s="9">
        <v>13</v>
      </c>
      <c r="D9" s="30">
        <v>0</v>
      </c>
      <c r="E9" s="9">
        <v>9</v>
      </c>
      <c r="F9" s="31">
        <v>0</v>
      </c>
      <c r="G9" s="10" t="s">
        <v>93</v>
      </c>
      <c r="H9" s="10" t="s">
        <v>93</v>
      </c>
      <c r="I9" s="9">
        <v>16</v>
      </c>
      <c r="J9" s="9">
        <v>174</v>
      </c>
      <c r="K9" s="23">
        <f>C9/(O9/100)</f>
        <v>59.090909090909093</v>
      </c>
      <c r="L9" s="24">
        <f t="shared" si="0"/>
        <v>0</v>
      </c>
      <c r="M9" s="24">
        <f t="shared" si="1"/>
        <v>40.909090909090907</v>
      </c>
      <c r="N9" s="24">
        <f t="shared" si="2"/>
        <v>0</v>
      </c>
      <c r="O9" s="21">
        <f t="shared" ref="O9:O72" si="6">SUM(C9,D9,E9,F9)</f>
        <v>22</v>
      </c>
      <c r="P9" s="32"/>
      <c r="Q9" s="34">
        <f t="shared" si="3"/>
        <v>8.4210526315789469</v>
      </c>
      <c r="R9" s="34">
        <f t="shared" si="4"/>
        <v>91.578947368421055</v>
      </c>
      <c r="S9">
        <f t="shared" si="5"/>
        <v>190</v>
      </c>
      <c r="T9" s="32"/>
    </row>
    <row r="10" spans="1:26" x14ac:dyDescent="0.2">
      <c r="A10" s="14" t="s">
        <v>15</v>
      </c>
      <c r="B10" s="9">
        <v>252</v>
      </c>
      <c r="C10" s="9">
        <v>26</v>
      </c>
      <c r="D10" s="29">
        <v>0</v>
      </c>
      <c r="E10" s="9">
        <v>6</v>
      </c>
      <c r="F10" s="31">
        <v>0</v>
      </c>
      <c r="G10" s="10" t="s">
        <v>93</v>
      </c>
      <c r="H10" s="10" t="s">
        <v>93</v>
      </c>
      <c r="I10" s="9">
        <v>30</v>
      </c>
      <c r="J10" s="9">
        <v>190</v>
      </c>
      <c r="K10" s="23">
        <f t="shared" ref="K10:K72" si="7">C10/(O10/100)</f>
        <v>81.25</v>
      </c>
      <c r="L10" s="24">
        <f t="shared" si="0"/>
        <v>0</v>
      </c>
      <c r="M10" s="24">
        <f t="shared" si="1"/>
        <v>18.75</v>
      </c>
      <c r="N10" s="24">
        <f t="shared" si="2"/>
        <v>0</v>
      </c>
      <c r="O10" s="21">
        <f t="shared" si="6"/>
        <v>32</v>
      </c>
      <c r="P10" s="32"/>
      <c r="Q10" s="34">
        <f t="shared" si="3"/>
        <v>13.636363636363635</v>
      </c>
      <c r="R10" s="34">
        <f t="shared" si="4"/>
        <v>86.36363636363636</v>
      </c>
      <c r="S10">
        <f t="shared" si="5"/>
        <v>220</v>
      </c>
      <c r="T10" s="32"/>
    </row>
    <row r="11" spans="1:26" x14ac:dyDescent="0.2">
      <c r="A11" s="14" t="s">
        <v>16</v>
      </c>
      <c r="B11" s="9">
        <v>127</v>
      </c>
      <c r="C11" s="9">
        <v>16</v>
      </c>
      <c r="D11" s="29">
        <v>0</v>
      </c>
      <c r="E11" s="9">
        <v>5</v>
      </c>
      <c r="F11" s="31">
        <v>0</v>
      </c>
      <c r="G11" s="10" t="s">
        <v>93</v>
      </c>
      <c r="H11" s="10" t="s">
        <v>93</v>
      </c>
      <c r="I11" s="9">
        <v>26</v>
      </c>
      <c r="J11" s="9">
        <v>80</v>
      </c>
      <c r="K11" s="23">
        <f t="shared" si="7"/>
        <v>76.19047619047619</v>
      </c>
      <c r="L11" s="24">
        <f t="shared" si="0"/>
        <v>0</v>
      </c>
      <c r="M11" s="24">
        <f t="shared" si="1"/>
        <v>23.80952380952381</v>
      </c>
      <c r="N11" s="24">
        <f t="shared" si="2"/>
        <v>0</v>
      </c>
      <c r="O11" s="21">
        <f t="shared" si="6"/>
        <v>21</v>
      </c>
      <c r="P11" s="32"/>
      <c r="Q11" s="34">
        <f t="shared" si="3"/>
        <v>24.528301886792452</v>
      </c>
      <c r="R11" s="34">
        <f t="shared" si="4"/>
        <v>75.471698113207538</v>
      </c>
      <c r="S11">
        <f t="shared" si="5"/>
        <v>106</v>
      </c>
      <c r="T11" s="32"/>
    </row>
    <row r="12" spans="1:26" x14ac:dyDescent="0.2">
      <c r="A12" s="14" t="s">
        <v>17</v>
      </c>
      <c r="B12" s="9">
        <v>478</v>
      </c>
      <c r="C12" s="9">
        <v>31</v>
      </c>
      <c r="D12" s="29">
        <v>0</v>
      </c>
      <c r="E12" s="9">
        <v>3</v>
      </c>
      <c r="F12" s="31">
        <v>0</v>
      </c>
      <c r="G12" s="10" t="s">
        <v>93</v>
      </c>
      <c r="H12" s="10" t="s">
        <v>93</v>
      </c>
      <c r="I12" s="9">
        <v>28</v>
      </c>
      <c r="J12" s="9">
        <v>416</v>
      </c>
      <c r="K12" s="23">
        <f t="shared" si="7"/>
        <v>91.17647058823529</v>
      </c>
      <c r="L12" s="24">
        <f t="shared" si="0"/>
        <v>0</v>
      </c>
      <c r="M12" s="24">
        <f t="shared" si="1"/>
        <v>8.8235294117647047</v>
      </c>
      <c r="N12" s="24">
        <f t="shared" si="2"/>
        <v>0</v>
      </c>
      <c r="O12" s="21">
        <f t="shared" si="6"/>
        <v>34</v>
      </c>
      <c r="P12" s="32"/>
      <c r="Q12" s="34">
        <f t="shared" si="3"/>
        <v>6.3063063063063058</v>
      </c>
      <c r="R12" s="34">
        <f t="shared" si="4"/>
        <v>93.693693693693689</v>
      </c>
      <c r="S12">
        <f t="shared" si="5"/>
        <v>444</v>
      </c>
      <c r="T12" s="32"/>
    </row>
    <row r="13" spans="1:26" x14ac:dyDescent="0.2">
      <c r="A13" s="14" t="s">
        <v>18</v>
      </c>
      <c r="B13" s="9">
        <v>143</v>
      </c>
      <c r="C13" s="9">
        <v>21</v>
      </c>
      <c r="D13" s="29">
        <v>0</v>
      </c>
      <c r="E13" s="9">
        <v>6</v>
      </c>
      <c r="F13" s="31">
        <v>0</v>
      </c>
      <c r="G13" s="10" t="s">
        <v>93</v>
      </c>
      <c r="H13" s="10" t="s">
        <v>93</v>
      </c>
      <c r="I13" s="9">
        <v>24</v>
      </c>
      <c r="J13" s="9">
        <v>92</v>
      </c>
      <c r="K13" s="23">
        <f t="shared" si="7"/>
        <v>77.777777777777771</v>
      </c>
      <c r="L13" s="24">
        <f t="shared" si="0"/>
        <v>0</v>
      </c>
      <c r="M13" s="24">
        <f t="shared" si="1"/>
        <v>22.222222222222221</v>
      </c>
      <c r="N13" s="24">
        <f t="shared" si="2"/>
        <v>0</v>
      </c>
      <c r="O13" s="21">
        <f t="shared" si="6"/>
        <v>27</v>
      </c>
      <c r="P13" s="32"/>
      <c r="Q13" s="34">
        <f t="shared" si="3"/>
        <v>20.689655172413794</v>
      </c>
      <c r="R13" s="34">
        <f t="shared" si="4"/>
        <v>79.310344827586206</v>
      </c>
      <c r="S13">
        <f t="shared" si="5"/>
        <v>116</v>
      </c>
      <c r="T13" s="32"/>
    </row>
    <row r="14" spans="1:26" x14ac:dyDescent="0.2">
      <c r="A14" s="14" t="s">
        <v>19</v>
      </c>
      <c r="B14" s="9">
        <v>304</v>
      </c>
      <c r="C14" s="9">
        <v>24</v>
      </c>
      <c r="D14" s="29">
        <v>0</v>
      </c>
      <c r="E14" s="9">
        <v>2</v>
      </c>
      <c r="F14" s="31">
        <v>0</v>
      </c>
      <c r="G14" s="10" t="s">
        <v>93</v>
      </c>
      <c r="H14" s="10" t="s">
        <v>93</v>
      </c>
      <c r="I14" s="9">
        <v>26</v>
      </c>
      <c r="J14" s="9">
        <v>252</v>
      </c>
      <c r="K14" s="23">
        <f t="shared" si="7"/>
        <v>92.307692307692307</v>
      </c>
      <c r="L14" s="24">
        <f t="shared" si="0"/>
        <v>0</v>
      </c>
      <c r="M14" s="24">
        <f t="shared" si="1"/>
        <v>7.6923076923076916</v>
      </c>
      <c r="N14" s="24">
        <f t="shared" si="2"/>
        <v>0</v>
      </c>
      <c r="O14" s="21">
        <f t="shared" si="6"/>
        <v>26</v>
      </c>
      <c r="P14" s="32"/>
      <c r="Q14" s="34">
        <f t="shared" si="3"/>
        <v>9.3525179856115113</v>
      </c>
      <c r="R14" s="34">
        <f t="shared" si="4"/>
        <v>90.647482014388501</v>
      </c>
      <c r="S14">
        <f t="shared" si="5"/>
        <v>278</v>
      </c>
      <c r="T14" s="32"/>
    </row>
    <row r="15" spans="1:26" x14ac:dyDescent="0.2">
      <c r="A15" s="14" t="s">
        <v>20</v>
      </c>
      <c r="B15" s="9">
        <v>157</v>
      </c>
      <c r="C15" s="9">
        <v>23</v>
      </c>
      <c r="D15" s="29">
        <v>0</v>
      </c>
      <c r="E15" s="9">
        <v>6</v>
      </c>
      <c r="F15" s="31">
        <v>0</v>
      </c>
      <c r="G15" s="10" t="s">
        <v>93</v>
      </c>
      <c r="H15" s="10" t="s">
        <v>93</v>
      </c>
      <c r="I15" s="9">
        <v>12</v>
      </c>
      <c r="J15" s="9">
        <v>116</v>
      </c>
      <c r="K15" s="23">
        <f t="shared" si="7"/>
        <v>79.310344827586206</v>
      </c>
      <c r="L15" s="24">
        <f t="shared" si="0"/>
        <v>0</v>
      </c>
      <c r="M15" s="24">
        <f t="shared" si="1"/>
        <v>20.689655172413794</v>
      </c>
      <c r="N15" s="24">
        <f t="shared" si="2"/>
        <v>0</v>
      </c>
      <c r="O15" s="21">
        <f t="shared" si="6"/>
        <v>29</v>
      </c>
      <c r="P15" s="32"/>
      <c r="Q15" s="34">
        <f t="shared" si="3"/>
        <v>9.375</v>
      </c>
      <c r="R15" s="34">
        <f t="shared" si="4"/>
        <v>90.625</v>
      </c>
      <c r="S15">
        <f t="shared" si="5"/>
        <v>128</v>
      </c>
      <c r="T15" s="32"/>
    </row>
    <row r="16" spans="1:26" x14ac:dyDescent="0.2">
      <c r="A16" s="14" t="s">
        <v>21</v>
      </c>
      <c r="B16" s="9">
        <v>347</v>
      </c>
      <c r="C16" s="9">
        <v>28</v>
      </c>
      <c r="D16" s="29">
        <v>0</v>
      </c>
      <c r="E16" s="9">
        <v>5</v>
      </c>
      <c r="F16" s="31">
        <v>0</v>
      </c>
      <c r="G16" s="10" t="s">
        <v>93</v>
      </c>
      <c r="H16" s="10" t="s">
        <v>93</v>
      </c>
      <c r="I16" s="9">
        <v>27</v>
      </c>
      <c r="J16" s="9">
        <v>287</v>
      </c>
      <c r="K16" s="23">
        <f t="shared" si="7"/>
        <v>84.848484848484844</v>
      </c>
      <c r="L16" s="24">
        <f t="shared" si="0"/>
        <v>0</v>
      </c>
      <c r="M16" s="24">
        <f t="shared" si="1"/>
        <v>15.15151515151515</v>
      </c>
      <c r="N16" s="24">
        <f t="shared" si="2"/>
        <v>0</v>
      </c>
      <c r="O16" s="21">
        <f t="shared" si="6"/>
        <v>33</v>
      </c>
      <c r="P16" s="32"/>
      <c r="Q16" s="34">
        <f t="shared" si="3"/>
        <v>8.598726114649681</v>
      </c>
      <c r="R16" s="34">
        <f t="shared" si="4"/>
        <v>91.401273885350321</v>
      </c>
      <c r="S16">
        <f t="shared" si="5"/>
        <v>314</v>
      </c>
      <c r="T16" s="32"/>
    </row>
    <row r="17" spans="1:26" x14ac:dyDescent="0.2">
      <c r="A17" s="14" t="s">
        <v>22</v>
      </c>
      <c r="B17" s="9">
        <v>312</v>
      </c>
      <c r="C17" s="9">
        <v>18</v>
      </c>
      <c r="D17" s="29">
        <v>0</v>
      </c>
      <c r="E17" s="9">
        <v>2</v>
      </c>
      <c r="F17" s="31">
        <v>0</v>
      </c>
      <c r="G17" s="10" t="s">
        <v>93</v>
      </c>
      <c r="H17" s="10" t="s">
        <v>93</v>
      </c>
      <c r="I17" s="9">
        <v>6</v>
      </c>
      <c r="J17" s="9">
        <v>286</v>
      </c>
      <c r="K17" s="23">
        <f t="shared" si="7"/>
        <v>90</v>
      </c>
      <c r="L17" s="24">
        <f t="shared" si="0"/>
        <v>0</v>
      </c>
      <c r="M17" s="24">
        <f t="shared" si="1"/>
        <v>10</v>
      </c>
      <c r="N17" s="24">
        <f t="shared" si="2"/>
        <v>0</v>
      </c>
      <c r="O17" s="21">
        <f t="shared" si="6"/>
        <v>20</v>
      </c>
      <c r="P17" s="32"/>
      <c r="Q17" s="34">
        <f t="shared" si="3"/>
        <v>2.0547945205479454</v>
      </c>
      <c r="R17" s="34">
        <f t="shared" si="4"/>
        <v>97.945205479452056</v>
      </c>
      <c r="S17">
        <f t="shared" si="5"/>
        <v>292</v>
      </c>
      <c r="T17" s="32"/>
    </row>
    <row r="18" spans="1:26" x14ac:dyDescent="0.2">
      <c r="A18" s="14" t="s">
        <v>23</v>
      </c>
      <c r="B18" s="9">
        <v>64</v>
      </c>
      <c r="C18" s="30">
        <v>0</v>
      </c>
      <c r="D18" s="29">
        <v>0</v>
      </c>
      <c r="E18" s="9">
        <v>64</v>
      </c>
      <c r="F18" s="31">
        <v>0</v>
      </c>
      <c r="G18" s="10" t="s">
        <v>93</v>
      </c>
      <c r="H18" s="10" t="s">
        <v>93</v>
      </c>
      <c r="I18" s="29">
        <v>0</v>
      </c>
      <c r="J18" s="29">
        <v>0</v>
      </c>
      <c r="K18" s="23">
        <f t="shared" si="7"/>
        <v>0</v>
      </c>
      <c r="L18" s="24">
        <f t="shared" si="0"/>
        <v>0</v>
      </c>
      <c r="M18" s="24">
        <f t="shared" si="1"/>
        <v>100</v>
      </c>
      <c r="N18" s="24">
        <f t="shared" si="2"/>
        <v>0</v>
      </c>
      <c r="O18" s="21">
        <f t="shared" si="6"/>
        <v>64</v>
      </c>
      <c r="P18" s="32"/>
      <c r="Q18" s="34">
        <v>0</v>
      </c>
      <c r="R18" s="34">
        <v>0</v>
      </c>
      <c r="S18">
        <f t="shared" si="5"/>
        <v>0</v>
      </c>
      <c r="T18" s="32"/>
    </row>
    <row r="19" spans="1:26" x14ac:dyDescent="0.2">
      <c r="A19" s="14" t="s">
        <v>24</v>
      </c>
      <c r="B19" s="9">
        <v>267</v>
      </c>
      <c r="C19" s="9">
        <v>24</v>
      </c>
      <c r="D19" s="29">
        <v>0</v>
      </c>
      <c r="E19" s="9">
        <v>3</v>
      </c>
      <c r="F19" s="31">
        <v>0</v>
      </c>
      <c r="G19" s="10" t="s">
        <v>93</v>
      </c>
      <c r="H19" s="10" t="s">
        <v>93</v>
      </c>
      <c r="I19" s="9">
        <v>17</v>
      </c>
      <c r="J19" s="9">
        <v>223</v>
      </c>
      <c r="K19" s="23">
        <f t="shared" si="7"/>
        <v>88.888888888888886</v>
      </c>
      <c r="L19" s="24">
        <f t="shared" si="0"/>
        <v>0</v>
      </c>
      <c r="M19" s="24">
        <f t="shared" si="1"/>
        <v>11.111111111111111</v>
      </c>
      <c r="N19" s="24">
        <f t="shared" si="2"/>
        <v>0</v>
      </c>
      <c r="O19" s="21">
        <f t="shared" si="6"/>
        <v>27</v>
      </c>
      <c r="P19" s="32"/>
      <c r="Q19" s="34">
        <f t="shared" si="3"/>
        <v>7.0833333333333339</v>
      </c>
      <c r="R19" s="34">
        <f t="shared" si="4"/>
        <v>92.916666666666671</v>
      </c>
      <c r="S19">
        <f t="shared" si="5"/>
        <v>240</v>
      </c>
      <c r="T19" s="32"/>
    </row>
    <row r="20" spans="1:26" x14ac:dyDescent="0.2">
      <c r="A20" s="14" t="s">
        <v>25</v>
      </c>
      <c r="B20" s="9">
        <v>290</v>
      </c>
      <c r="C20" s="9">
        <v>25</v>
      </c>
      <c r="D20" s="29">
        <v>0</v>
      </c>
      <c r="E20" s="9">
        <v>4</v>
      </c>
      <c r="F20" s="31">
        <v>0</v>
      </c>
      <c r="G20" s="10" t="s">
        <v>93</v>
      </c>
      <c r="H20" s="10" t="s">
        <v>93</v>
      </c>
      <c r="I20" s="9">
        <v>29</v>
      </c>
      <c r="J20" s="9">
        <v>232</v>
      </c>
      <c r="K20" s="23">
        <f t="shared" si="7"/>
        <v>86.206896551724142</v>
      </c>
      <c r="L20" s="24">
        <f t="shared" si="0"/>
        <v>0</v>
      </c>
      <c r="M20" s="24">
        <f t="shared" si="1"/>
        <v>13.793103448275863</v>
      </c>
      <c r="N20" s="24">
        <f t="shared" si="2"/>
        <v>0</v>
      </c>
      <c r="O20" s="21">
        <f t="shared" si="6"/>
        <v>29</v>
      </c>
      <c r="P20" s="32"/>
      <c r="Q20" s="34">
        <f t="shared" si="3"/>
        <v>11.111111111111112</v>
      </c>
      <c r="R20" s="34">
        <f t="shared" si="4"/>
        <v>88.8888888888889</v>
      </c>
      <c r="S20">
        <f t="shared" si="5"/>
        <v>261</v>
      </c>
      <c r="T20" s="32"/>
    </row>
    <row r="21" spans="1:26" x14ac:dyDescent="0.2">
      <c r="A21" s="14" t="s">
        <v>26</v>
      </c>
      <c r="B21" s="9">
        <v>183</v>
      </c>
      <c r="C21" s="9">
        <v>25</v>
      </c>
      <c r="D21" s="29">
        <v>0</v>
      </c>
      <c r="E21" s="9">
        <v>2</v>
      </c>
      <c r="F21" s="31">
        <v>0</v>
      </c>
      <c r="G21" s="10" t="s">
        <v>93</v>
      </c>
      <c r="H21" s="10" t="s">
        <v>93</v>
      </c>
      <c r="I21" s="9">
        <v>23</v>
      </c>
      <c r="J21" s="9">
        <v>133</v>
      </c>
      <c r="K21" s="23">
        <f t="shared" si="7"/>
        <v>92.592592592592581</v>
      </c>
      <c r="L21" s="24">
        <f t="shared" si="0"/>
        <v>0</v>
      </c>
      <c r="M21" s="24">
        <f t="shared" si="1"/>
        <v>7.4074074074074066</v>
      </c>
      <c r="N21" s="24">
        <f t="shared" si="2"/>
        <v>0</v>
      </c>
      <c r="O21" s="21">
        <f t="shared" si="6"/>
        <v>27</v>
      </c>
      <c r="P21" s="32"/>
      <c r="Q21" s="34">
        <f t="shared" si="3"/>
        <v>14.743589743589743</v>
      </c>
      <c r="R21" s="34">
        <f t="shared" si="4"/>
        <v>85.256410256410248</v>
      </c>
      <c r="S21">
        <f t="shared" si="5"/>
        <v>156</v>
      </c>
      <c r="T21" s="32"/>
    </row>
    <row r="22" spans="1:26" x14ac:dyDescent="0.2">
      <c r="A22" s="14" t="s">
        <v>27</v>
      </c>
      <c r="B22" s="9">
        <v>274</v>
      </c>
      <c r="C22" s="9">
        <v>23</v>
      </c>
      <c r="D22" s="29">
        <v>0</v>
      </c>
      <c r="E22" s="9">
        <v>7</v>
      </c>
      <c r="F22" s="31">
        <v>0</v>
      </c>
      <c r="G22" s="10" t="s">
        <v>93</v>
      </c>
      <c r="H22" s="10" t="s">
        <v>93</v>
      </c>
      <c r="I22" s="9">
        <v>13</v>
      </c>
      <c r="J22" s="9">
        <v>231</v>
      </c>
      <c r="K22" s="23">
        <f t="shared" si="7"/>
        <v>76.666666666666671</v>
      </c>
      <c r="L22" s="24">
        <f t="shared" si="0"/>
        <v>0</v>
      </c>
      <c r="M22" s="24">
        <f t="shared" si="1"/>
        <v>23.333333333333336</v>
      </c>
      <c r="N22" s="24">
        <f t="shared" si="2"/>
        <v>0</v>
      </c>
      <c r="O22" s="21">
        <f t="shared" si="6"/>
        <v>30</v>
      </c>
      <c r="P22" s="32"/>
      <c r="Q22" s="34">
        <f t="shared" si="3"/>
        <v>5.3278688524590168</v>
      </c>
      <c r="R22" s="34">
        <f t="shared" si="4"/>
        <v>94.672131147540981</v>
      </c>
      <c r="S22">
        <f t="shared" si="5"/>
        <v>244</v>
      </c>
      <c r="T22" s="32"/>
    </row>
    <row r="23" spans="1:26" x14ac:dyDescent="0.2">
      <c r="A23" s="14" t="s">
        <v>28</v>
      </c>
      <c r="B23" s="9">
        <v>262</v>
      </c>
      <c r="C23" s="9">
        <v>27</v>
      </c>
      <c r="D23" s="9">
        <v>4</v>
      </c>
      <c r="E23" s="9">
        <v>11</v>
      </c>
      <c r="F23" s="31">
        <v>0</v>
      </c>
      <c r="G23" s="10" t="s">
        <v>93</v>
      </c>
      <c r="H23" s="10" t="s">
        <v>93</v>
      </c>
      <c r="I23" s="9">
        <v>36</v>
      </c>
      <c r="J23" s="9">
        <v>184</v>
      </c>
      <c r="K23" s="23">
        <f t="shared" si="7"/>
        <v>64.285714285714292</v>
      </c>
      <c r="L23" s="24">
        <f t="shared" si="0"/>
        <v>9.5238095238095237</v>
      </c>
      <c r="M23" s="24">
        <f t="shared" si="1"/>
        <v>26.19047619047619</v>
      </c>
      <c r="N23" s="24">
        <f t="shared" si="2"/>
        <v>0</v>
      </c>
      <c r="O23" s="21">
        <f t="shared" si="6"/>
        <v>42</v>
      </c>
      <c r="P23" s="32"/>
      <c r="Q23" s="34">
        <f t="shared" si="3"/>
        <v>16.363636363636363</v>
      </c>
      <c r="R23" s="34">
        <f t="shared" si="4"/>
        <v>83.636363636363626</v>
      </c>
      <c r="S23">
        <f t="shared" si="5"/>
        <v>220</v>
      </c>
      <c r="T23" s="32"/>
    </row>
    <row r="24" spans="1:26" x14ac:dyDescent="0.2">
      <c r="A24" s="14" t="s">
        <v>29</v>
      </c>
      <c r="B24" s="9">
        <v>103</v>
      </c>
      <c r="C24" s="9">
        <v>19</v>
      </c>
      <c r="D24" s="30">
        <v>0</v>
      </c>
      <c r="E24" s="9">
        <v>7</v>
      </c>
      <c r="F24" s="31">
        <v>0</v>
      </c>
      <c r="G24" s="10" t="s">
        <v>93</v>
      </c>
      <c r="H24" s="10" t="s">
        <v>93</v>
      </c>
      <c r="I24" s="9">
        <v>23</v>
      </c>
      <c r="J24" s="9">
        <v>54</v>
      </c>
      <c r="K24" s="23">
        <f t="shared" si="7"/>
        <v>73.07692307692308</v>
      </c>
      <c r="L24" s="24">
        <f t="shared" si="0"/>
        <v>0</v>
      </c>
      <c r="M24" s="24">
        <f t="shared" si="1"/>
        <v>26.923076923076923</v>
      </c>
      <c r="N24" s="24">
        <f t="shared" si="2"/>
        <v>0</v>
      </c>
      <c r="O24" s="21">
        <f t="shared" si="6"/>
        <v>26</v>
      </c>
      <c r="P24" s="32"/>
      <c r="Q24" s="34">
        <f t="shared" si="3"/>
        <v>29.870129870129869</v>
      </c>
      <c r="R24" s="34">
        <f t="shared" si="4"/>
        <v>70.129870129870127</v>
      </c>
      <c r="S24">
        <f t="shared" si="5"/>
        <v>77</v>
      </c>
      <c r="T24" s="32"/>
    </row>
    <row r="25" spans="1:26" x14ac:dyDescent="0.2">
      <c r="A25" s="14" t="s">
        <v>30</v>
      </c>
      <c r="B25" s="9">
        <v>96</v>
      </c>
      <c r="C25" s="9">
        <v>16</v>
      </c>
      <c r="D25" s="29">
        <v>0</v>
      </c>
      <c r="E25" s="9">
        <v>3</v>
      </c>
      <c r="F25" s="31">
        <v>0</v>
      </c>
      <c r="G25" s="10" t="s">
        <v>93</v>
      </c>
      <c r="H25" s="10" t="s">
        <v>93</v>
      </c>
      <c r="I25" s="9">
        <v>10</v>
      </c>
      <c r="J25" s="9">
        <v>67</v>
      </c>
      <c r="K25" s="23">
        <f t="shared" si="7"/>
        <v>84.21052631578948</v>
      </c>
      <c r="L25" s="24">
        <f t="shared" si="0"/>
        <v>0</v>
      </c>
      <c r="M25" s="24">
        <f t="shared" si="1"/>
        <v>15.789473684210526</v>
      </c>
      <c r="N25" s="24">
        <f t="shared" si="2"/>
        <v>0</v>
      </c>
      <c r="O25" s="21">
        <f t="shared" si="6"/>
        <v>19</v>
      </c>
      <c r="P25" s="32"/>
      <c r="Q25" s="34">
        <f t="shared" si="3"/>
        <v>12.987012987012987</v>
      </c>
      <c r="R25" s="34">
        <f t="shared" si="4"/>
        <v>87.012987012987011</v>
      </c>
      <c r="S25">
        <f t="shared" si="5"/>
        <v>77</v>
      </c>
      <c r="T25" s="32"/>
    </row>
    <row r="26" spans="1:26" ht="15" x14ac:dyDescent="0.25">
      <c r="A26" s="11" t="s">
        <v>103</v>
      </c>
      <c r="B26" s="9">
        <v>146</v>
      </c>
      <c r="C26" s="10" t="s">
        <v>93</v>
      </c>
      <c r="D26" s="10" t="s">
        <v>93</v>
      </c>
      <c r="E26" s="10" t="s">
        <v>93</v>
      </c>
      <c r="F26" s="10" t="s">
        <v>93</v>
      </c>
      <c r="G26" s="10" t="s">
        <v>93</v>
      </c>
      <c r="H26" s="9">
        <v>146</v>
      </c>
      <c r="I26" s="10" t="s">
        <v>93</v>
      </c>
      <c r="J26" s="10" t="s">
        <v>93</v>
      </c>
      <c r="K26" s="26"/>
      <c r="L26" s="27"/>
      <c r="M26" s="27"/>
      <c r="N26" s="27"/>
      <c r="O26" s="28"/>
      <c r="P26" s="32"/>
      <c r="Q26" s="27"/>
      <c r="R26" s="27"/>
      <c r="S26" s="18"/>
      <c r="T26" s="32"/>
    </row>
    <row r="27" spans="1:26" s="6" customFormat="1" ht="22.5" x14ac:dyDescent="0.2">
      <c r="A27" s="13" t="s">
        <v>31</v>
      </c>
      <c r="B27" s="7">
        <v>1390</v>
      </c>
      <c r="C27" s="7">
        <v>143</v>
      </c>
      <c r="D27" s="31">
        <v>0</v>
      </c>
      <c r="E27" s="7">
        <v>56</v>
      </c>
      <c r="F27" s="31">
        <v>0</v>
      </c>
      <c r="G27" s="8" t="s">
        <v>93</v>
      </c>
      <c r="H27" s="7">
        <v>111</v>
      </c>
      <c r="I27" s="7">
        <v>201</v>
      </c>
      <c r="J27" s="7">
        <v>879</v>
      </c>
      <c r="K27" s="123">
        <f>C27/(O27/100)</f>
        <v>71.859296482412063</v>
      </c>
      <c r="L27" s="24">
        <f t="shared" si="0"/>
        <v>0</v>
      </c>
      <c r="M27" s="124">
        <f t="shared" si="1"/>
        <v>28.140703517587941</v>
      </c>
      <c r="N27" s="24">
        <f t="shared" si="2"/>
        <v>0</v>
      </c>
      <c r="O27" s="21">
        <f t="shared" si="6"/>
        <v>199</v>
      </c>
      <c r="P27" s="32">
        <f>C27/((O27-O35)/100)</f>
        <v>80.790960451977398</v>
      </c>
      <c r="Q27" s="125">
        <f t="shared" si="3"/>
        <v>18.611111111111111</v>
      </c>
      <c r="R27" s="125">
        <f t="shared" si="4"/>
        <v>81.388888888888886</v>
      </c>
      <c r="S27">
        <f t="shared" si="5"/>
        <v>1080</v>
      </c>
      <c r="T27" s="32"/>
      <c r="U27"/>
      <c r="V27"/>
      <c r="W27"/>
      <c r="X27"/>
      <c r="Y27"/>
      <c r="Z27"/>
    </row>
    <row r="28" spans="1:26" x14ac:dyDescent="0.2">
      <c r="A28" s="14" t="s">
        <v>32</v>
      </c>
      <c r="B28" s="9">
        <v>125</v>
      </c>
      <c r="C28" s="9">
        <v>16</v>
      </c>
      <c r="D28" s="31">
        <v>0</v>
      </c>
      <c r="E28" s="9">
        <v>2</v>
      </c>
      <c r="F28" s="31">
        <v>0</v>
      </c>
      <c r="G28" s="10" t="s">
        <v>93</v>
      </c>
      <c r="H28" s="10" t="s">
        <v>93</v>
      </c>
      <c r="I28" s="9">
        <v>22</v>
      </c>
      <c r="J28" s="9">
        <v>85</v>
      </c>
      <c r="K28" s="23">
        <f t="shared" si="7"/>
        <v>88.888888888888886</v>
      </c>
      <c r="L28" s="24">
        <f t="shared" si="0"/>
        <v>0</v>
      </c>
      <c r="M28" s="24">
        <f t="shared" si="1"/>
        <v>11.111111111111111</v>
      </c>
      <c r="N28" s="24">
        <f t="shared" si="2"/>
        <v>0</v>
      </c>
      <c r="O28" s="21">
        <f t="shared" si="6"/>
        <v>18</v>
      </c>
      <c r="P28" s="32"/>
      <c r="Q28" s="34">
        <f t="shared" si="3"/>
        <v>20.5607476635514</v>
      </c>
      <c r="R28" s="34">
        <f t="shared" si="4"/>
        <v>79.43925233644859</v>
      </c>
      <c r="S28">
        <f t="shared" si="5"/>
        <v>107</v>
      </c>
      <c r="T28" s="32"/>
    </row>
    <row r="29" spans="1:26" x14ac:dyDescent="0.2">
      <c r="A29" s="14" t="s">
        <v>33</v>
      </c>
      <c r="B29" s="9">
        <v>178</v>
      </c>
      <c r="C29" s="9">
        <v>14</v>
      </c>
      <c r="D29" s="31">
        <v>0</v>
      </c>
      <c r="E29" s="9">
        <v>6</v>
      </c>
      <c r="F29" s="31">
        <v>0</v>
      </c>
      <c r="G29" s="10" t="s">
        <v>93</v>
      </c>
      <c r="H29" s="10" t="s">
        <v>93</v>
      </c>
      <c r="I29" s="9">
        <v>14</v>
      </c>
      <c r="J29" s="9">
        <v>144</v>
      </c>
      <c r="K29" s="23">
        <f t="shared" si="7"/>
        <v>70</v>
      </c>
      <c r="L29" s="24">
        <f t="shared" si="0"/>
        <v>0</v>
      </c>
      <c r="M29" s="24">
        <f t="shared" si="1"/>
        <v>30</v>
      </c>
      <c r="N29" s="24">
        <f t="shared" si="2"/>
        <v>0</v>
      </c>
      <c r="O29" s="21">
        <f t="shared" si="6"/>
        <v>20</v>
      </c>
      <c r="P29" s="32"/>
      <c r="Q29" s="34">
        <f t="shared" si="3"/>
        <v>8.8607594936708853</v>
      </c>
      <c r="R29" s="34">
        <f t="shared" si="4"/>
        <v>91.139240506329116</v>
      </c>
      <c r="S29">
        <f t="shared" si="5"/>
        <v>158</v>
      </c>
      <c r="T29" s="32"/>
    </row>
    <row r="30" spans="1:26" x14ac:dyDescent="0.2">
      <c r="A30" s="14" t="s">
        <v>34</v>
      </c>
      <c r="B30" s="9">
        <v>224</v>
      </c>
      <c r="C30" s="9">
        <v>20</v>
      </c>
      <c r="D30" s="31">
        <v>0</v>
      </c>
      <c r="E30" s="9">
        <v>8</v>
      </c>
      <c r="F30" s="31">
        <v>0</v>
      </c>
      <c r="G30" s="10" t="s">
        <v>93</v>
      </c>
      <c r="H30" s="10" t="s">
        <v>93</v>
      </c>
      <c r="I30" s="9">
        <v>21</v>
      </c>
      <c r="J30" s="9">
        <v>175</v>
      </c>
      <c r="K30" s="23">
        <f t="shared" si="7"/>
        <v>71.428571428571416</v>
      </c>
      <c r="L30" s="24">
        <f t="shared" si="0"/>
        <v>0</v>
      </c>
      <c r="M30" s="24">
        <f t="shared" si="1"/>
        <v>28.571428571428569</v>
      </c>
      <c r="N30" s="24">
        <f t="shared" si="2"/>
        <v>0</v>
      </c>
      <c r="O30" s="21">
        <f t="shared" si="6"/>
        <v>28</v>
      </c>
      <c r="P30" s="32"/>
      <c r="Q30" s="34">
        <f t="shared" si="3"/>
        <v>10.714285714285715</v>
      </c>
      <c r="R30" s="34">
        <f t="shared" si="4"/>
        <v>89.285714285714292</v>
      </c>
      <c r="S30">
        <f t="shared" si="5"/>
        <v>196</v>
      </c>
      <c r="T30" s="32"/>
    </row>
    <row r="31" spans="1:26" ht="15" x14ac:dyDescent="0.25">
      <c r="A31" s="14" t="s">
        <v>94</v>
      </c>
      <c r="B31" s="9"/>
      <c r="C31" s="9"/>
      <c r="D31" s="10"/>
      <c r="E31" s="9"/>
      <c r="F31" s="10"/>
      <c r="G31" s="10"/>
      <c r="H31" s="10"/>
      <c r="I31" s="9"/>
      <c r="J31" s="9"/>
      <c r="K31" s="26"/>
      <c r="L31" s="27"/>
      <c r="M31" s="27"/>
      <c r="N31" s="27"/>
      <c r="O31" s="28"/>
      <c r="P31" s="32"/>
      <c r="Q31" s="27"/>
      <c r="R31" s="27"/>
      <c r="S31" s="18"/>
      <c r="T31" s="32"/>
    </row>
    <row r="32" spans="1:26" x14ac:dyDescent="0.2">
      <c r="A32" s="12" t="s">
        <v>95</v>
      </c>
      <c r="B32" s="9">
        <v>21</v>
      </c>
      <c r="C32" s="9">
        <v>1</v>
      </c>
      <c r="D32" s="31">
        <v>0</v>
      </c>
      <c r="E32" s="9">
        <v>1</v>
      </c>
      <c r="F32" s="31">
        <v>0</v>
      </c>
      <c r="G32" s="10" t="s">
        <v>93</v>
      </c>
      <c r="H32" s="10" t="s">
        <v>93</v>
      </c>
      <c r="I32" s="9">
        <v>1</v>
      </c>
      <c r="J32" s="9">
        <v>18</v>
      </c>
      <c r="K32" s="23">
        <f t="shared" si="7"/>
        <v>50</v>
      </c>
      <c r="L32" s="24">
        <f t="shared" si="0"/>
        <v>0</v>
      </c>
      <c r="M32" s="24">
        <f t="shared" si="1"/>
        <v>50</v>
      </c>
      <c r="N32" s="24">
        <f t="shared" si="2"/>
        <v>0</v>
      </c>
      <c r="O32" s="21">
        <f t="shared" si="6"/>
        <v>2</v>
      </c>
      <c r="P32" s="32"/>
      <c r="Q32" s="34">
        <f t="shared" si="3"/>
        <v>5.2631578947368425</v>
      </c>
      <c r="R32" s="34">
        <f t="shared" si="4"/>
        <v>94.73684210526315</v>
      </c>
      <c r="S32">
        <f t="shared" si="5"/>
        <v>19</v>
      </c>
      <c r="T32" s="32"/>
    </row>
    <row r="33" spans="1:26" ht="22.5" customHeight="1" x14ac:dyDescent="0.2">
      <c r="A33" s="12" t="s">
        <v>106</v>
      </c>
      <c r="B33" s="9">
        <v>203</v>
      </c>
      <c r="C33" s="9">
        <v>19</v>
      </c>
      <c r="D33" s="31">
        <v>0</v>
      </c>
      <c r="E33" s="9">
        <v>7</v>
      </c>
      <c r="F33" s="31">
        <v>0</v>
      </c>
      <c r="G33" s="10" t="s">
        <v>93</v>
      </c>
      <c r="H33" s="10" t="s">
        <v>93</v>
      </c>
      <c r="I33" s="9">
        <v>20</v>
      </c>
      <c r="J33" s="9">
        <v>157</v>
      </c>
      <c r="K33" s="23">
        <f t="shared" si="7"/>
        <v>73.07692307692308</v>
      </c>
      <c r="L33" s="24">
        <f t="shared" si="0"/>
        <v>0</v>
      </c>
      <c r="M33" s="24">
        <f t="shared" si="1"/>
        <v>26.923076923076923</v>
      </c>
      <c r="N33" s="24">
        <f t="shared" si="2"/>
        <v>0</v>
      </c>
      <c r="O33" s="21">
        <f t="shared" si="6"/>
        <v>26</v>
      </c>
      <c r="P33" s="32"/>
      <c r="Q33" s="34">
        <f t="shared" si="3"/>
        <v>11.299435028248588</v>
      </c>
      <c r="R33" s="34">
        <f t="shared" si="4"/>
        <v>88.700564971751405</v>
      </c>
      <c r="S33">
        <f t="shared" si="5"/>
        <v>177</v>
      </c>
      <c r="T33" s="32"/>
    </row>
    <row r="34" spans="1:26" x14ac:dyDescent="0.2">
      <c r="A34" s="14" t="s">
        <v>35</v>
      </c>
      <c r="B34" s="9">
        <v>207</v>
      </c>
      <c r="C34" s="9">
        <v>26</v>
      </c>
      <c r="D34" s="31">
        <v>0</v>
      </c>
      <c r="E34" s="9">
        <v>2</v>
      </c>
      <c r="F34" s="31">
        <v>0</v>
      </c>
      <c r="G34" s="10" t="s">
        <v>93</v>
      </c>
      <c r="H34" s="10" t="s">
        <v>93</v>
      </c>
      <c r="I34" s="9">
        <v>21</v>
      </c>
      <c r="J34" s="9">
        <v>158</v>
      </c>
      <c r="K34" s="23">
        <f t="shared" si="7"/>
        <v>92.857142857142847</v>
      </c>
      <c r="L34" s="24">
        <f t="shared" si="0"/>
        <v>0</v>
      </c>
      <c r="M34" s="24">
        <f t="shared" si="1"/>
        <v>7.1428571428571423</v>
      </c>
      <c r="N34" s="24">
        <f t="shared" si="2"/>
        <v>0</v>
      </c>
      <c r="O34" s="21">
        <f t="shared" si="6"/>
        <v>28</v>
      </c>
      <c r="P34" s="32"/>
      <c r="Q34" s="34">
        <f t="shared" si="3"/>
        <v>11.731843575418994</v>
      </c>
      <c r="R34" s="34">
        <f t="shared" si="4"/>
        <v>88.268156424581008</v>
      </c>
      <c r="S34">
        <f t="shared" si="5"/>
        <v>179</v>
      </c>
      <c r="T34" s="32"/>
    </row>
    <row r="35" spans="1:26" x14ac:dyDescent="0.2">
      <c r="A35" s="14" t="s">
        <v>36</v>
      </c>
      <c r="B35" s="9">
        <v>22</v>
      </c>
      <c r="C35" s="30">
        <v>0</v>
      </c>
      <c r="D35" s="31">
        <v>0</v>
      </c>
      <c r="E35" s="9">
        <v>22</v>
      </c>
      <c r="F35" s="31">
        <v>0</v>
      </c>
      <c r="G35" s="10" t="s">
        <v>93</v>
      </c>
      <c r="H35" s="10" t="s">
        <v>93</v>
      </c>
      <c r="I35" s="29">
        <v>0</v>
      </c>
      <c r="J35" s="29">
        <v>0</v>
      </c>
      <c r="K35" s="23">
        <f t="shared" si="7"/>
        <v>0</v>
      </c>
      <c r="L35" s="24">
        <f t="shared" si="0"/>
        <v>0</v>
      </c>
      <c r="M35" s="24">
        <f t="shared" si="1"/>
        <v>100</v>
      </c>
      <c r="N35" s="24">
        <f t="shared" si="2"/>
        <v>0</v>
      </c>
      <c r="O35" s="21">
        <f t="shared" si="6"/>
        <v>22</v>
      </c>
      <c r="P35" s="32"/>
      <c r="Q35" s="34">
        <v>0</v>
      </c>
      <c r="R35" s="34">
        <v>0</v>
      </c>
      <c r="S35">
        <f t="shared" si="5"/>
        <v>0</v>
      </c>
      <c r="T35" s="32"/>
    </row>
    <row r="36" spans="1:26" x14ac:dyDescent="0.2">
      <c r="A36" s="14" t="s">
        <v>37</v>
      </c>
      <c r="B36" s="9">
        <v>205</v>
      </c>
      <c r="C36" s="9">
        <v>17</v>
      </c>
      <c r="D36" s="31">
        <v>0</v>
      </c>
      <c r="E36" s="9">
        <v>1</v>
      </c>
      <c r="F36" s="31">
        <v>0</v>
      </c>
      <c r="G36" s="10" t="s">
        <v>93</v>
      </c>
      <c r="H36" s="10" t="s">
        <v>93</v>
      </c>
      <c r="I36" s="9">
        <v>66</v>
      </c>
      <c r="J36" s="9">
        <v>121</v>
      </c>
      <c r="K36" s="23">
        <f t="shared" si="7"/>
        <v>94.444444444444443</v>
      </c>
      <c r="L36" s="24">
        <f t="shared" si="0"/>
        <v>0</v>
      </c>
      <c r="M36" s="24">
        <f t="shared" si="1"/>
        <v>5.5555555555555554</v>
      </c>
      <c r="N36" s="24">
        <f t="shared" si="2"/>
        <v>0</v>
      </c>
      <c r="O36" s="21">
        <f t="shared" si="6"/>
        <v>18</v>
      </c>
      <c r="P36" s="32"/>
      <c r="Q36" s="34">
        <f t="shared" si="3"/>
        <v>35.294117647058819</v>
      </c>
      <c r="R36" s="34">
        <f t="shared" si="4"/>
        <v>64.705882352941174</v>
      </c>
      <c r="S36">
        <f t="shared" si="5"/>
        <v>187</v>
      </c>
      <c r="T36" s="32"/>
    </row>
    <row r="37" spans="1:26" x14ac:dyDescent="0.2">
      <c r="A37" s="14" t="s">
        <v>38</v>
      </c>
      <c r="B37" s="9">
        <v>40</v>
      </c>
      <c r="C37" s="9">
        <v>5</v>
      </c>
      <c r="D37" s="31">
        <v>0</v>
      </c>
      <c r="E37" s="9">
        <v>12</v>
      </c>
      <c r="F37" s="31">
        <v>0</v>
      </c>
      <c r="G37" s="10" t="s">
        <v>93</v>
      </c>
      <c r="H37" s="10" t="s">
        <v>93</v>
      </c>
      <c r="I37" s="9">
        <v>13</v>
      </c>
      <c r="J37" s="9">
        <v>10</v>
      </c>
      <c r="K37" s="23">
        <f t="shared" si="7"/>
        <v>29.411764705882351</v>
      </c>
      <c r="L37" s="24">
        <f t="shared" si="0"/>
        <v>0</v>
      </c>
      <c r="M37" s="24">
        <f t="shared" si="1"/>
        <v>70.588235294117638</v>
      </c>
      <c r="N37" s="24">
        <f t="shared" si="2"/>
        <v>0</v>
      </c>
      <c r="O37" s="21">
        <f t="shared" si="6"/>
        <v>17</v>
      </c>
      <c r="P37" s="32"/>
      <c r="Q37" s="34">
        <f t="shared" si="3"/>
        <v>56.521739130434781</v>
      </c>
      <c r="R37" s="34">
        <f t="shared" si="4"/>
        <v>43.478260869565219</v>
      </c>
      <c r="S37">
        <f t="shared" si="5"/>
        <v>23</v>
      </c>
      <c r="T37" s="32"/>
    </row>
    <row r="38" spans="1:26" x14ac:dyDescent="0.2">
      <c r="A38" s="14" t="s">
        <v>39</v>
      </c>
      <c r="B38" s="9">
        <v>142</v>
      </c>
      <c r="C38" s="9">
        <v>21</v>
      </c>
      <c r="D38" s="31">
        <v>0</v>
      </c>
      <c r="E38" s="9">
        <v>1</v>
      </c>
      <c r="F38" s="31">
        <v>0</v>
      </c>
      <c r="G38" s="10" t="s">
        <v>93</v>
      </c>
      <c r="H38" s="10" t="s">
        <v>93</v>
      </c>
      <c r="I38" s="9">
        <v>19</v>
      </c>
      <c r="J38" s="9">
        <v>101</v>
      </c>
      <c r="K38" s="23">
        <f t="shared" si="7"/>
        <v>95.454545454545453</v>
      </c>
      <c r="L38" s="24">
        <f t="shared" si="0"/>
        <v>0</v>
      </c>
      <c r="M38" s="24">
        <f t="shared" si="1"/>
        <v>4.5454545454545459</v>
      </c>
      <c r="N38" s="24">
        <f t="shared" si="2"/>
        <v>0</v>
      </c>
      <c r="O38" s="21">
        <f t="shared" si="6"/>
        <v>22</v>
      </c>
      <c r="P38" s="32"/>
      <c r="Q38" s="34">
        <f t="shared" si="3"/>
        <v>15.833333333333334</v>
      </c>
      <c r="R38" s="34">
        <f t="shared" si="4"/>
        <v>84.166666666666671</v>
      </c>
      <c r="S38">
        <f t="shared" si="5"/>
        <v>120</v>
      </c>
      <c r="T38" s="32"/>
    </row>
    <row r="39" spans="1:26" x14ac:dyDescent="0.2">
      <c r="A39" s="14" t="s">
        <v>40</v>
      </c>
      <c r="B39" s="9">
        <v>136</v>
      </c>
      <c r="C39" s="9">
        <v>24</v>
      </c>
      <c r="D39" s="31">
        <v>0</v>
      </c>
      <c r="E39" s="9">
        <v>2</v>
      </c>
      <c r="F39" s="31">
        <v>0</v>
      </c>
      <c r="G39" s="10" t="s">
        <v>93</v>
      </c>
      <c r="H39" s="10" t="s">
        <v>93</v>
      </c>
      <c r="I39" s="9">
        <v>25</v>
      </c>
      <c r="J39" s="9">
        <v>85</v>
      </c>
      <c r="K39" s="23">
        <f t="shared" si="7"/>
        <v>92.307692307692307</v>
      </c>
      <c r="L39" s="24">
        <f t="shared" si="0"/>
        <v>0</v>
      </c>
      <c r="M39" s="24">
        <f t="shared" si="1"/>
        <v>7.6923076923076916</v>
      </c>
      <c r="N39" s="24">
        <f t="shared" si="2"/>
        <v>0</v>
      </c>
      <c r="O39" s="21">
        <f t="shared" si="6"/>
        <v>26</v>
      </c>
      <c r="P39" s="32"/>
      <c r="Q39" s="34">
        <f t="shared" si="3"/>
        <v>22.727272727272727</v>
      </c>
      <c r="R39" s="34">
        <f t="shared" si="4"/>
        <v>77.272727272727266</v>
      </c>
      <c r="S39">
        <f t="shared" si="5"/>
        <v>110</v>
      </c>
      <c r="T39" s="32"/>
    </row>
    <row r="40" spans="1:26" ht="15" x14ac:dyDescent="0.25">
      <c r="A40" s="11" t="s">
        <v>104</v>
      </c>
      <c r="B40" s="9">
        <v>111</v>
      </c>
      <c r="C40" s="25"/>
      <c r="D40" s="10" t="s">
        <v>93</v>
      </c>
      <c r="E40" s="10" t="s">
        <v>93</v>
      </c>
      <c r="F40" s="10" t="s">
        <v>93</v>
      </c>
      <c r="G40" s="10" t="s">
        <v>93</v>
      </c>
      <c r="H40" s="9">
        <v>111</v>
      </c>
      <c r="I40" s="10" t="s">
        <v>93</v>
      </c>
      <c r="J40" s="10" t="s">
        <v>93</v>
      </c>
      <c r="K40" s="26"/>
      <c r="L40" s="27"/>
      <c r="M40" s="27"/>
      <c r="N40" s="27"/>
      <c r="O40" s="28"/>
      <c r="P40" s="32"/>
      <c r="Q40" s="27"/>
      <c r="R40" s="27"/>
      <c r="S40" s="18"/>
      <c r="T40" s="32"/>
    </row>
    <row r="41" spans="1:26" s="6" customFormat="1" x14ac:dyDescent="0.2">
      <c r="A41" s="17" t="s">
        <v>107</v>
      </c>
      <c r="B41" s="7">
        <v>1971</v>
      </c>
      <c r="C41" s="7">
        <v>157</v>
      </c>
      <c r="D41" s="31">
        <v>0</v>
      </c>
      <c r="E41" s="7">
        <v>41</v>
      </c>
      <c r="F41" s="31">
        <v>0</v>
      </c>
      <c r="G41" s="8" t="s">
        <v>93</v>
      </c>
      <c r="H41" s="7">
        <v>10</v>
      </c>
      <c r="I41" s="7">
        <v>96</v>
      </c>
      <c r="J41" s="7">
        <v>1667</v>
      </c>
      <c r="K41" s="123">
        <f>C41/(O41/100)</f>
        <v>79.292929292929287</v>
      </c>
      <c r="L41" s="24">
        <f t="shared" si="0"/>
        <v>0</v>
      </c>
      <c r="M41" s="124">
        <f t="shared" si="1"/>
        <v>20.707070707070706</v>
      </c>
      <c r="N41" s="24">
        <f t="shared" si="2"/>
        <v>0</v>
      </c>
      <c r="O41" s="21">
        <f t="shared" si="6"/>
        <v>198</v>
      </c>
      <c r="P41" s="32"/>
      <c r="Q41" s="125">
        <f t="shared" si="3"/>
        <v>5.4452637549631318</v>
      </c>
      <c r="R41" s="125">
        <f t="shared" si="4"/>
        <v>94.554736245036878</v>
      </c>
      <c r="S41">
        <f t="shared" si="5"/>
        <v>1763</v>
      </c>
      <c r="T41" s="32"/>
      <c r="U41"/>
      <c r="V41"/>
      <c r="W41"/>
      <c r="X41"/>
      <c r="Y41"/>
      <c r="Z41"/>
    </row>
    <row r="42" spans="1:26" x14ac:dyDescent="0.2">
      <c r="A42" s="11" t="s">
        <v>96</v>
      </c>
      <c r="B42" s="9">
        <v>60</v>
      </c>
      <c r="C42" s="9">
        <v>7</v>
      </c>
      <c r="D42" s="31">
        <v>0</v>
      </c>
      <c r="E42" s="9">
        <v>2</v>
      </c>
      <c r="F42" s="31">
        <v>0</v>
      </c>
      <c r="G42" s="10" t="s">
        <v>93</v>
      </c>
      <c r="H42" s="10" t="s">
        <v>93</v>
      </c>
      <c r="I42" s="9">
        <v>3</v>
      </c>
      <c r="J42" s="9">
        <v>48</v>
      </c>
      <c r="K42" s="23">
        <f t="shared" si="7"/>
        <v>77.777777777777786</v>
      </c>
      <c r="L42" s="24">
        <f t="shared" si="0"/>
        <v>0</v>
      </c>
      <c r="M42" s="24">
        <f t="shared" si="1"/>
        <v>22.222222222222221</v>
      </c>
      <c r="N42" s="24">
        <f t="shared" si="2"/>
        <v>0</v>
      </c>
      <c r="O42" s="21">
        <f t="shared" si="6"/>
        <v>9</v>
      </c>
      <c r="P42" s="32"/>
      <c r="Q42" s="34">
        <f t="shared" si="3"/>
        <v>5.8823529411764701</v>
      </c>
      <c r="R42" s="34">
        <f t="shared" si="4"/>
        <v>94.117647058823522</v>
      </c>
      <c r="S42">
        <f t="shared" si="5"/>
        <v>51</v>
      </c>
      <c r="T42" s="32"/>
    </row>
    <row r="43" spans="1:26" x14ac:dyDescent="0.2">
      <c r="A43" s="11" t="s">
        <v>41</v>
      </c>
      <c r="B43" s="9">
        <v>127</v>
      </c>
      <c r="C43" s="9">
        <v>13</v>
      </c>
      <c r="D43" s="31">
        <v>0</v>
      </c>
      <c r="E43" s="9">
        <v>1</v>
      </c>
      <c r="F43" s="31">
        <v>0</v>
      </c>
      <c r="G43" s="10" t="s">
        <v>93</v>
      </c>
      <c r="H43" s="10" t="s">
        <v>93</v>
      </c>
      <c r="I43" s="9">
        <v>2</v>
      </c>
      <c r="J43" s="9">
        <v>111</v>
      </c>
      <c r="K43" s="23">
        <f t="shared" si="7"/>
        <v>92.857142857142847</v>
      </c>
      <c r="L43" s="24">
        <f t="shared" si="0"/>
        <v>0</v>
      </c>
      <c r="M43" s="24">
        <f t="shared" si="1"/>
        <v>7.1428571428571423</v>
      </c>
      <c r="N43" s="24">
        <f t="shared" si="2"/>
        <v>0</v>
      </c>
      <c r="O43" s="21">
        <f t="shared" si="6"/>
        <v>14</v>
      </c>
      <c r="P43" s="32"/>
      <c r="Q43" s="34">
        <f t="shared" si="3"/>
        <v>1.7699115044247788</v>
      </c>
      <c r="R43" s="34">
        <f t="shared" si="4"/>
        <v>98.230088495575231</v>
      </c>
      <c r="S43">
        <f t="shared" si="5"/>
        <v>113</v>
      </c>
      <c r="T43" s="32"/>
    </row>
    <row r="44" spans="1:26" x14ac:dyDescent="0.2">
      <c r="A44" s="11" t="s">
        <v>42</v>
      </c>
      <c r="B44" s="9">
        <v>279</v>
      </c>
      <c r="C44" s="9">
        <v>14</v>
      </c>
      <c r="D44" s="31">
        <v>0</v>
      </c>
      <c r="E44" s="9">
        <v>11</v>
      </c>
      <c r="F44" s="31">
        <v>0</v>
      </c>
      <c r="G44" s="10" t="s">
        <v>93</v>
      </c>
      <c r="H44" s="10" t="s">
        <v>93</v>
      </c>
      <c r="I44" s="9">
        <v>4</v>
      </c>
      <c r="J44" s="9">
        <v>250</v>
      </c>
      <c r="K44" s="23">
        <f t="shared" si="7"/>
        <v>56</v>
      </c>
      <c r="L44" s="24">
        <f t="shared" si="0"/>
        <v>0</v>
      </c>
      <c r="M44" s="24">
        <f t="shared" si="1"/>
        <v>44</v>
      </c>
      <c r="N44" s="24">
        <f t="shared" si="2"/>
        <v>0</v>
      </c>
      <c r="O44" s="21">
        <f t="shared" si="6"/>
        <v>25</v>
      </c>
      <c r="P44" s="32"/>
      <c r="Q44" s="34">
        <f t="shared" si="3"/>
        <v>1.5748031496062991</v>
      </c>
      <c r="R44" s="34">
        <f t="shared" si="4"/>
        <v>98.425196850393704</v>
      </c>
      <c r="S44">
        <f t="shared" si="5"/>
        <v>254</v>
      </c>
      <c r="T44" s="32"/>
    </row>
    <row r="45" spans="1:26" x14ac:dyDescent="0.2">
      <c r="A45" s="11" t="s">
        <v>43</v>
      </c>
      <c r="B45" s="9">
        <v>425</v>
      </c>
      <c r="C45" s="9">
        <v>37</v>
      </c>
      <c r="D45" s="31">
        <v>0</v>
      </c>
      <c r="E45" s="9">
        <v>7</v>
      </c>
      <c r="F45" s="31">
        <v>0</v>
      </c>
      <c r="G45" s="10" t="s">
        <v>93</v>
      </c>
      <c r="H45" s="10" t="s">
        <v>93</v>
      </c>
      <c r="I45" s="9">
        <v>30</v>
      </c>
      <c r="J45" s="9">
        <v>351</v>
      </c>
      <c r="K45" s="23">
        <f t="shared" si="7"/>
        <v>84.090909090909093</v>
      </c>
      <c r="L45" s="24">
        <f t="shared" si="0"/>
        <v>0</v>
      </c>
      <c r="M45" s="24">
        <f t="shared" si="1"/>
        <v>15.909090909090908</v>
      </c>
      <c r="N45" s="24">
        <f t="shared" si="2"/>
        <v>0</v>
      </c>
      <c r="O45" s="21">
        <f t="shared" si="6"/>
        <v>44</v>
      </c>
      <c r="P45" s="32"/>
      <c r="Q45" s="34">
        <f t="shared" si="3"/>
        <v>7.8740157480314963</v>
      </c>
      <c r="R45" s="34">
        <f t="shared" si="4"/>
        <v>92.125984251968504</v>
      </c>
      <c r="S45">
        <f t="shared" si="5"/>
        <v>381</v>
      </c>
      <c r="T45" s="32"/>
    </row>
    <row r="46" spans="1:26" x14ac:dyDescent="0.2">
      <c r="A46" s="11" t="s">
        <v>44</v>
      </c>
      <c r="B46" s="9">
        <v>141</v>
      </c>
      <c r="C46" s="9">
        <v>11</v>
      </c>
      <c r="D46" s="31">
        <v>0</v>
      </c>
      <c r="E46" s="9">
        <v>2</v>
      </c>
      <c r="F46" s="31">
        <v>0</v>
      </c>
      <c r="G46" s="10" t="s">
        <v>93</v>
      </c>
      <c r="H46" s="10" t="s">
        <v>93</v>
      </c>
      <c r="I46" s="9">
        <v>11</v>
      </c>
      <c r="J46" s="9">
        <v>117</v>
      </c>
      <c r="K46" s="23">
        <f t="shared" si="7"/>
        <v>84.615384615384613</v>
      </c>
      <c r="L46" s="24">
        <f t="shared" si="0"/>
        <v>0</v>
      </c>
      <c r="M46" s="24">
        <f t="shared" si="1"/>
        <v>15.384615384615383</v>
      </c>
      <c r="N46" s="24">
        <f t="shared" si="2"/>
        <v>0</v>
      </c>
      <c r="O46" s="21">
        <f t="shared" si="6"/>
        <v>13</v>
      </c>
      <c r="P46" s="32"/>
      <c r="Q46" s="34">
        <f t="shared" si="3"/>
        <v>8.59375</v>
      </c>
      <c r="R46" s="34">
        <f t="shared" si="4"/>
        <v>91.40625</v>
      </c>
      <c r="S46">
        <f t="shared" si="5"/>
        <v>128</v>
      </c>
      <c r="T46" s="32"/>
    </row>
    <row r="47" spans="1:26" x14ac:dyDescent="0.2">
      <c r="A47" s="11" t="s">
        <v>45</v>
      </c>
      <c r="B47" s="9">
        <v>466</v>
      </c>
      <c r="C47" s="9">
        <v>32</v>
      </c>
      <c r="D47" s="31">
        <v>0</v>
      </c>
      <c r="E47" s="9">
        <v>6</v>
      </c>
      <c r="F47" s="31">
        <v>0</v>
      </c>
      <c r="G47" s="10" t="s">
        <v>93</v>
      </c>
      <c r="H47" s="10" t="s">
        <v>93</v>
      </c>
      <c r="I47" s="9">
        <v>29</v>
      </c>
      <c r="J47" s="9">
        <v>399</v>
      </c>
      <c r="K47" s="23">
        <f t="shared" si="7"/>
        <v>84.21052631578948</v>
      </c>
      <c r="L47" s="24">
        <f t="shared" si="0"/>
        <v>0</v>
      </c>
      <c r="M47" s="24">
        <f t="shared" si="1"/>
        <v>15.789473684210526</v>
      </c>
      <c r="N47" s="24">
        <f t="shared" si="2"/>
        <v>0</v>
      </c>
      <c r="O47" s="21">
        <f t="shared" si="6"/>
        <v>38</v>
      </c>
      <c r="P47" s="32"/>
      <c r="Q47" s="34">
        <f t="shared" si="3"/>
        <v>6.7757009345794392</v>
      </c>
      <c r="R47" s="34">
        <f t="shared" si="4"/>
        <v>93.224299065420553</v>
      </c>
      <c r="S47">
        <f t="shared" si="5"/>
        <v>428</v>
      </c>
      <c r="T47" s="32"/>
    </row>
    <row r="48" spans="1:26" x14ac:dyDescent="0.2">
      <c r="A48" s="11" t="s">
        <v>46</v>
      </c>
      <c r="B48" s="9">
        <v>463</v>
      </c>
      <c r="C48" s="9">
        <v>43</v>
      </c>
      <c r="D48" s="31">
        <v>0</v>
      </c>
      <c r="E48" s="9">
        <v>12</v>
      </c>
      <c r="F48" s="31">
        <v>0</v>
      </c>
      <c r="G48" s="10" t="s">
        <v>93</v>
      </c>
      <c r="H48" s="10" t="s">
        <v>93</v>
      </c>
      <c r="I48" s="9">
        <v>17</v>
      </c>
      <c r="J48" s="9">
        <v>391</v>
      </c>
      <c r="K48" s="23">
        <f t="shared" si="7"/>
        <v>78.181818181818173</v>
      </c>
      <c r="L48" s="24">
        <f t="shared" si="0"/>
        <v>0</v>
      </c>
      <c r="M48" s="24">
        <f t="shared" si="1"/>
        <v>21.818181818181817</v>
      </c>
      <c r="N48" s="24">
        <f t="shared" si="2"/>
        <v>0</v>
      </c>
      <c r="O48" s="21">
        <f t="shared" si="6"/>
        <v>55</v>
      </c>
      <c r="P48" s="32"/>
      <c r="Q48" s="34">
        <f t="shared" si="3"/>
        <v>4.166666666666667</v>
      </c>
      <c r="R48" s="34">
        <f t="shared" si="4"/>
        <v>95.833333333333329</v>
      </c>
      <c r="S48">
        <f t="shared" si="5"/>
        <v>408</v>
      </c>
      <c r="T48" s="32"/>
    </row>
    <row r="49" spans="1:26" ht="15" x14ac:dyDescent="0.25">
      <c r="A49" s="11" t="s">
        <v>105</v>
      </c>
      <c r="B49" s="9">
        <v>10</v>
      </c>
      <c r="C49" s="10" t="s">
        <v>93</v>
      </c>
      <c r="D49" s="10" t="s">
        <v>93</v>
      </c>
      <c r="E49" s="10" t="s">
        <v>93</v>
      </c>
      <c r="F49" s="10" t="s">
        <v>93</v>
      </c>
      <c r="G49" s="10" t="s">
        <v>93</v>
      </c>
      <c r="H49" s="9">
        <v>10</v>
      </c>
      <c r="I49" s="10" t="s">
        <v>93</v>
      </c>
      <c r="J49" s="10" t="s">
        <v>93</v>
      </c>
      <c r="K49" s="26"/>
      <c r="L49" s="27"/>
      <c r="M49" s="27"/>
      <c r="N49" s="27"/>
      <c r="O49" s="28"/>
      <c r="P49" s="32"/>
      <c r="Q49" s="27"/>
      <c r="R49" s="27"/>
      <c r="S49" s="18"/>
      <c r="T49" s="32"/>
    </row>
    <row r="50" spans="1:26" s="6" customFormat="1" ht="22.5" x14ac:dyDescent="0.2">
      <c r="A50" s="13" t="s">
        <v>47</v>
      </c>
      <c r="B50" s="7">
        <v>1584</v>
      </c>
      <c r="C50" s="7">
        <v>104</v>
      </c>
      <c r="D50" s="31">
        <v>0</v>
      </c>
      <c r="E50" s="7">
        <v>39</v>
      </c>
      <c r="F50" s="7">
        <v>1</v>
      </c>
      <c r="G50" s="7">
        <v>3</v>
      </c>
      <c r="H50" s="8" t="s">
        <v>93</v>
      </c>
      <c r="I50" s="7">
        <v>30</v>
      </c>
      <c r="J50" s="7">
        <v>1407</v>
      </c>
      <c r="K50" s="123">
        <f>C50/(O50/100)</f>
        <v>72.222222222222229</v>
      </c>
      <c r="L50" s="24">
        <f t="shared" si="0"/>
        <v>0</v>
      </c>
      <c r="M50" s="124">
        <f t="shared" si="1"/>
        <v>27.083333333333336</v>
      </c>
      <c r="N50" s="24">
        <f t="shared" si="2"/>
        <v>0.69444444444444442</v>
      </c>
      <c r="O50" s="21">
        <f t="shared" si="6"/>
        <v>144</v>
      </c>
      <c r="P50" s="32"/>
      <c r="Q50" s="125">
        <f t="shared" si="3"/>
        <v>2.0876826722338206</v>
      </c>
      <c r="R50" s="125">
        <f t="shared" si="4"/>
        <v>97.912317327766189</v>
      </c>
      <c r="S50">
        <f t="shared" si="5"/>
        <v>1437</v>
      </c>
      <c r="T50" s="32"/>
      <c r="U50"/>
      <c r="V50"/>
      <c r="W50"/>
      <c r="X50"/>
      <c r="Y50"/>
      <c r="Z50"/>
    </row>
    <row r="51" spans="1:26" x14ac:dyDescent="0.2">
      <c r="A51" s="14" t="s">
        <v>48</v>
      </c>
      <c r="B51" s="9">
        <v>761</v>
      </c>
      <c r="C51" s="9">
        <v>41</v>
      </c>
      <c r="D51" s="31">
        <v>0</v>
      </c>
      <c r="E51" s="9">
        <v>9</v>
      </c>
      <c r="F51" s="9">
        <v>1</v>
      </c>
      <c r="G51" s="9">
        <v>3</v>
      </c>
      <c r="H51" s="10" t="s">
        <v>93</v>
      </c>
      <c r="I51" s="9">
        <v>7</v>
      </c>
      <c r="J51" s="9">
        <v>700</v>
      </c>
      <c r="K51" s="23">
        <f t="shared" si="7"/>
        <v>80.392156862745097</v>
      </c>
      <c r="L51" s="24">
        <f t="shared" si="0"/>
        <v>0</v>
      </c>
      <c r="M51" s="24">
        <f t="shared" si="1"/>
        <v>17.647058823529413</v>
      </c>
      <c r="N51" s="24">
        <f t="shared" si="2"/>
        <v>1.9607843137254901</v>
      </c>
      <c r="O51" s="21">
        <f t="shared" si="6"/>
        <v>51</v>
      </c>
      <c r="P51" s="32"/>
      <c r="Q51" s="34">
        <f t="shared" si="3"/>
        <v>0.99009900990099009</v>
      </c>
      <c r="R51" s="34">
        <f t="shared" si="4"/>
        <v>99.009900990099013</v>
      </c>
      <c r="S51">
        <f t="shared" si="5"/>
        <v>707</v>
      </c>
      <c r="T51" s="32"/>
    </row>
    <row r="52" spans="1:26" x14ac:dyDescent="0.2">
      <c r="A52" s="14" t="s">
        <v>97</v>
      </c>
      <c r="B52" s="9">
        <v>45</v>
      </c>
      <c r="C52" s="9">
        <v>4</v>
      </c>
      <c r="D52" s="31">
        <v>0</v>
      </c>
      <c r="E52" s="9">
        <v>5</v>
      </c>
      <c r="F52" s="31">
        <v>0</v>
      </c>
      <c r="G52" s="10" t="s">
        <v>93</v>
      </c>
      <c r="H52" s="10" t="s">
        <v>93</v>
      </c>
      <c r="I52" s="29">
        <v>0</v>
      </c>
      <c r="J52" s="9">
        <v>36</v>
      </c>
      <c r="K52" s="23">
        <f t="shared" si="7"/>
        <v>44.444444444444443</v>
      </c>
      <c r="L52" s="24">
        <f t="shared" si="0"/>
        <v>0</v>
      </c>
      <c r="M52" s="24">
        <f t="shared" si="1"/>
        <v>55.555555555555557</v>
      </c>
      <c r="N52" s="24">
        <f t="shared" si="2"/>
        <v>0</v>
      </c>
      <c r="O52" s="21">
        <f t="shared" si="6"/>
        <v>9</v>
      </c>
      <c r="P52" s="32"/>
      <c r="Q52" s="34">
        <f>I52/(S52/100)</f>
        <v>0</v>
      </c>
      <c r="R52" s="34">
        <f t="shared" si="4"/>
        <v>100</v>
      </c>
      <c r="S52">
        <f t="shared" si="5"/>
        <v>36</v>
      </c>
      <c r="T52" s="32"/>
    </row>
    <row r="53" spans="1:26" ht="22.5" x14ac:dyDescent="0.2">
      <c r="A53" s="14" t="s">
        <v>49</v>
      </c>
      <c r="B53" s="9">
        <v>132</v>
      </c>
      <c r="C53" s="9">
        <v>10</v>
      </c>
      <c r="D53" s="31">
        <v>0</v>
      </c>
      <c r="E53" s="9">
        <v>3</v>
      </c>
      <c r="F53" s="31">
        <v>0</v>
      </c>
      <c r="G53" s="10" t="s">
        <v>93</v>
      </c>
      <c r="H53" s="10" t="s">
        <v>93</v>
      </c>
      <c r="I53" s="9">
        <v>7</v>
      </c>
      <c r="J53" s="9">
        <v>112</v>
      </c>
      <c r="K53" s="23">
        <f t="shared" si="7"/>
        <v>76.92307692307692</v>
      </c>
      <c r="L53" s="24">
        <f t="shared" si="0"/>
        <v>0</v>
      </c>
      <c r="M53" s="24">
        <f t="shared" si="1"/>
        <v>23.076923076923077</v>
      </c>
      <c r="N53" s="24">
        <f t="shared" si="2"/>
        <v>0</v>
      </c>
      <c r="O53" s="21">
        <f t="shared" si="6"/>
        <v>13</v>
      </c>
      <c r="P53" s="32"/>
      <c r="Q53" s="34">
        <f t="shared" si="3"/>
        <v>5.882352941176471</v>
      </c>
      <c r="R53" s="34">
        <f t="shared" si="4"/>
        <v>94.117647058823536</v>
      </c>
      <c r="S53">
        <f t="shared" si="5"/>
        <v>119</v>
      </c>
      <c r="T53" s="32"/>
    </row>
    <row r="54" spans="1:26" ht="22.5" x14ac:dyDescent="0.2">
      <c r="A54" s="14" t="s">
        <v>50</v>
      </c>
      <c r="B54" s="9">
        <v>100</v>
      </c>
      <c r="C54" s="9">
        <v>10</v>
      </c>
      <c r="D54" s="31">
        <v>0</v>
      </c>
      <c r="E54" s="9">
        <v>2</v>
      </c>
      <c r="F54" s="31">
        <v>0</v>
      </c>
      <c r="G54" s="10" t="s">
        <v>93</v>
      </c>
      <c r="H54" s="10" t="s">
        <v>93</v>
      </c>
      <c r="I54" s="9">
        <v>5</v>
      </c>
      <c r="J54" s="9">
        <v>83</v>
      </c>
      <c r="K54" s="23">
        <f t="shared" si="7"/>
        <v>83.333333333333343</v>
      </c>
      <c r="L54" s="24">
        <f t="shared" si="0"/>
        <v>0</v>
      </c>
      <c r="M54" s="24">
        <f t="shared" si="1"/>
        <v>16.666666666666668</v>
      </c>
      <c r="N54" s="24">
        <f t="shared" si="2"/>
        <v>0</v>
      </c>
      <c r="O54" s="21">
        <f t="shared" si="6"/>
        <v>12</v>
      </c>
      <c r="P54" s="32"/>
      <c r="Q54" s="34">
        <f t="shared" si="3"/>
        <v>5.6818181818181817</v>
      </c>
      <c r="R54" s="34">
        <f t="shared" si="4"/>
        <v>94.318181818181813</v>
      </c>
      <c r="S54">
        <f t="shared" si="5"/>
        <v>88</v>
      </c>
      <c r="T54" s="32"/>
    </row>
    <row r="55" spans="1:26" ht="22.5" x14ac:dyDescent="0.2">
      <c r="A55" s="14" t="s">
        <v>51</v>
      </c>
      <c r="B55" s="9">
        <v>111</v>
      </c>
      <c r="C55" s="9">
        <v>8</v>
      </c>
      <c r="D55" s="31">
        <v>0</v>
      </c>
      <c r="E55" s="9">
        <v>1</v>
      </c>
      <c r="F55" s="31">
        <v>0</v>
      </c>
      <c r="G55" s="10" t="s">
        <v>93</v>
      </c>
      <c r="H55" s="10" t="s">
        <v>93</v>
      </c>
      <c r="I55" s="9">
        <v>5</v>
      </c>
      <c r="J55" s="9">
        <v>97</v>
      </c>
      <c r="K55" s="23">
        <f t="shared" si="7"/>
        <v>88.888888888888886</v>
      </c>
      <c r="L55" s="24">
        <f t="shared" si="0"/>
        <v>0</v>
      </c>
      <c r="M55" s="24">
        <f t="shared" si="1"/>
        <v>11.111111111111111</v>
      </c>
      <c r="N55" s="24">
        <f t="shared" si="2"/>
        <v>0</v>
      </c>
      <c r="O55" s="21">
        <f t="shared" si="6"/>
        <v>9</v>
      </c>
      <c r="P55" s="32"/>
      <c r="Q55" s="34">
        <f t="shared" si="3"/>
        <v>4.9019607843137258</v>
      </c>
      <c r="R55" s="34">
        <f t="shared" si="4"/>
        <v>95.098039215686271</v>
      </c>
      <c r="S55">
        <f t="shared" si="5"/>
        <v>102</v>
      </c>
      <c r="T55" s="32"/>
    </row>
    <row r="56" spans="1:26" x14ac:dyDescent="0.2">
      <c r="A56" s="14" t="s">
        <v>98</v>
      </c>
      <c r="B56" s="9">
        <v>234</v>
      </c>
      <c r="C56" s="9">
        <v>15</v>
      </c>
      <c r="D56" s="31">
        <v>0</v>
      </c>
      <c r="E56" s="9">
        <v>2</v>
      </c>
      <c r="F56" s="31">
        <v>0</v>
      </c>
      <c r="G56" s="10" t="s">
        <v>93</v>
      </c>
      <c r="H56" s="10" t="s">
        <v>93</v>
      </c>
      <c r="I56" s="9">
        <v>4</v>
      </c>
      <c r="J56" s="9">
        <v>213</v>
      </c>
      <c r="K56" s="23">
        <f t="shared" si="7"/>
        <v>88.235294117647058</v>
      </c>
      <c r="L56" s="24">
        <f t="shared" si="0"/>
        <v>0</v>
      </c>
      <c r="M56" s="24">
        <f t="shared" si="1"/>
        <v>11.76470588235294</v>
      </c>
      <c r="N56" s="24">
        <f t="shared" si="2"/>
        <v>0</v>
      </c>
      <c r="O56" s="21">
        <f t="shared" si="6"/>
        <v>17</v>
      </c>
      <c r="P56" s="32"/>
      <c r="Q56" s="34">
        <f t="shared" si="3"/>
        <v>1.8433179723502304</v>
      </c>
      <c r="R56" s="34">
        <f t="shared" si="4"/>
        <v>98.156682027649779</v>
      </c>
      <c r="S56">
        <f t="shared" si="5"/>
        <v>217</v>
      </c>
      <c r="T56" s="32"/>
    </row>
    <row r="57" spans="1:26" x14ac:dyDescent="0.2">
      <c r="A57" s="14" t="s">
        <v>52</v>
      </c>
      <c r="B57" s="9">
        <v>201</v>
      </c>
      <c r="C57" s="9">
        <v>16</v>
      </c>
      <c r="D57" s="31">
        <v>0</v>
      </c>
      <c r="E57" s="9">
        <v>17</v>
      </c>
      <c r="F57" s="31">
        <v>0</v>
      </c>
      <c r="G57" s="10" t="s">
        <v>93</v>
      </c>
      <c r="H57" s="10" t="s">
        <v>93</v>
      </c>
      <c r="I57" s="9">
        <v>2</v>
      </c>
      <c r="J57" s="9">
        <v>166</v>
      </c>
      <c r="K57" s="23">
        <f t="shared" si="7"/>
        <v>48.484848484848484</v>
      </c>
      <c r="L57" s="24">
        <f t="shared" si="0"/>
        <v>0</v>
      </c>
      <c r="M57" s="24">
        <f t="shared" si="1"/>
        <v>51.515151515151516</v>
      </c>
      <c r="N57" s="24">
        <f t="shared" si="2"/>
        <v>0</v>
      </c>
      <c r="O57" s="21">
        <f t="shared" si="6"/>
        <v>33</v>
      </c>
      <c r="P57" s="32"/>
      <c r="Q57" s="34">
        <f t="shared" si="3"/>
        <v>1.1904761904761905</v>
      </c>
      <c r="R57" s="34">
        <f t="shared" si="4"/>
        <v>98.80952380952381</v>
      </c>
      <c r="S57">
        <f t="shared" si="5"/>
        <v>168</v>
      </c>
      <c r="T57" s="32"/>
    </row>
    <row r="58" spans="1:26" s="6" customFormat="1" ht="22.5" x14ac:dyDescent="0.2">
      <c r="A58" s="13" t="s">
        <v>53</v>
      </c>
      <c r="B58" s="7">
        <v>5441</v>
      </c>
      <c r="C58" s="7">
        <v>404</v>
      </c>
      <c r="D58" s="7">
        <v>13</v>
      </c>
      <c r="E58" s="7">
        <v>104</v>
      </c>
      <c r="F58" s="7">
        <v>1</v>
      </c>
      <c r="G58" s="7">
        <v>9</v>
      </c>
      <c r="H58" s="8" t="s">
        <v>93</v>
      </c>
      <c r="I58" s="7">
        <v>302</v>
      </c>
      <c r="J58" s="7">
        <v>4608</v>
      </c>
      <c r="K58" s="123">
        <f>C58/(O58/100)</f>
        <v>77.394636015325673</v>
      </c>
      <c r="L58" s="24">
        <f t="shared" si="0"/>
        <v>2.4904214559386975</v>
      </c>
      <c r="M58" s="124">
        <f t="shared" si="1"/>
        <v>19.92337164750958</v>
      </c>
      <c r="N58" s="24">
        <f t="shared" si="2"/>
        <v>0.19157088122605365</v>
      </c>
      <c r="O58" s="21">
        <f t="shared" si="6"/>
        <v>522</v>
      </c>
      <c r="P58" s="32"/>
      <c r="Q58" s="125">
        <f t="shared" si="3"/>
        <v>6.1507128309572296</v>
      </c>
      <c r="R58" s="125">
        <f t="shared" si="4"/>
        <v>93.849287169042768</v>
      </c>
      <c r="S58">
        <f t="shared" si="5"/>
        <v>4910</v>
      </c>
      <c r="T58" s="32"/>
      <c r="U58"/>
      <c r="V58"/>
      <c r="W58"/>
      <c r="X58"/>
      <c r="Y58"/>
      <c r="Z58"/>
    </row>
    <row r="59" spans="1:26" x14ac:dyDescent="0.2">
      <c r="A59" s="14" t="s">
        <v>54</v>
      </c>
      <c r="B59" s="9">
        <v>895</v>
      </c>
      <c r="C59" s="9">
        <v>54</v>
      </c>
      <c r="D59" s="31">
        <v>0</v>
      </c>
      <c r="E59" s="9">
        <v>9</v>
      </c>
      <c r="F59" s="31">
        <v>0</v>
      </c>
      <c r="G59" s="10" t="s">
        <v>93</v>
      </c>
      <c r="H59" s="10" t="s">
        <v>93</v>
      </c>
      <c r="I59" s="9">
        <v>14</v>
      </c>
      <c r="J59" s="9">
        <v>818</v>
      </c>
      <c r="K59" s="23">
        <f t="shared" si="7"/>
        <v>85.714285714285708</v>
      </c>
      <c r="L59" s="24">
        <f t="shared" si="0"/>
        <v>0</v>
      </c>
      <c r="M59" s="24">
        <f t="shared" si="1"/>
        <v>14.285714285714286</v>
      </c>
      <c r="N59" s="24">
        <f t="shared" si="2"/>
        <v>0</v>
      </c>
      <c r="O59" s="21">
        <f t="shared" si="6"/>
        <v>63</v>
      </c>
      <c r="P59" s="32"/>
      <c r="Q59" s="34">
        <f t="shared" si="3"/>
        <v>1.6826923076923077</v>
      </c>
      <c r="R59" s="34">
        <f t="shared" si="4"/>
        <v>98.317307692307693</v>
      </c>
      <c r="S59">
        <f t="shared" si="5"/>
        <v>832</v>
      </c>
      <c r="T59" s="32"/>
    </row>
    <row r="60" spans="1:26" x14ac:dyDescent="0.2">
      <c r="A60" s="14" t="s">
        <v>55</v>
      </c>
      <c r="B60" s="9">
        <v>138</v>
      </c>
      <c r="C60" s="9">
        <v>14</v>
      </c>
      <c r="D60" s="31">
        <v>0</v>
      </c>
      <c r="E60" s="9">
        <v>3</v>
      </c>
      <c r="F60" s="31">
        <v>0</v>
      </c>
      <c r="G60" s="10" t="s">
        <v>93</v>
      </c>
      <c r="H60" s="10" t="s">
        <v>93</v>
      </c>
      <c r="I60" s="9">
        <v>16</v>
      </c>
      <c r="J60" s="9">
        <v>105</v>
      </c>
      <c r="K60" s="23">
        <f t="shared" si="7"/>
        <v>82.35294117647058</v>
      </c>
      <c r="L60" s="24">
        <f t="shared" si="0"/>
        <v>0</v>
      </c>
      <c r="M60" s="24">
        <f t="shared" si="1"/>
        <v>17.647058823529409</v>
      </c>
      <c r="N60" s="24">
        <f t="shared" si="2"/>
        <v>0</v>
      </c>
      <c r="O60" s="21">
        <f t="shared" si="6"/>
        <v>17</v>
      </c>
      <c r="P60" s="32"/>
      <c r="Q60" s="34">
        <f t="shared" si="3"/>
        <v>13.223140495867769</v>
      </c>
      <c r="R60" s="34">
        <f t="shared" si="4"/>
        <v>86.776859504132233</v>
      </c>
      <c r="S60">
        <f t="shared" si="5"/>
        <v>121</v>
      </c>
      <c r="T60" s="32"/>
    </row>
    <row r="61" spans="1:26" x14ac:dyDescent="0.2">
      <c r="A61" s="14" t="s">
        <v>56</v>
      </c>
      <c r="B61" s="9">
        <v>295</v>
      </c>
      <c r="C61" s="9">
        <v>22</v>
      </c>
      <c r="D61" s="31">
        <v>0</v>
      </c>
      <c r="E61" s="9">
        <v>1</v>
      </c>
      <c r="F61" s="31">
        <v>0</v>
      </c>
      <c r="G61" s="10" t="s">
        <v>93</v>
      </c>
      <c r="H61" s="10" t="s">
        <v>93</v>
      </c>
      <c r="I61" s="9">
        <v>16</v>
      </c>
      <c r="J61" s="9">
        <v>256</v>
      </c>
      <c r="K61" s="23">
        <f t="shared" si="7"/>
        <v>95.65217391304347</v>
      </c>
      <c r="L61" s="24">
        <f t="shared" si="0"/>
        <v>0</v>
      </c>
      <c r="M61" s="24">
        <f t="shared" si="1"/>
        <v>4.3478260869565215</v>
      </c>
      <c r="N61" s="24">
        <f t="shared" si="2"/>
        <v>0</v>
      </c>
      <c r="O61" s="21">
        <f t="shared" si="6"/>
        <v>23</v>
      </c>
      <c r="P61" s="32"/>
      <c r="Q61" s="34">
        <f t="shared" si="3"/>
        <v>5.8823529411764701</v>
      </c>
      <c r="R61" s="34">
        <f t="shared" si="4"/>
        <v>94.117647058823522</v>
      </c>
      <c r="S61">
        <f t="shared" si="5"/>
        <v>272</v>
      </c>
      <c r="T61" s="32"/>
    </row>
    <row r="62" spans="1:26" x14ac:dyDescent="0.2">
      <c r="A62" s="11" t="s">
        <v>100</v>
      </c>
      <c r="B62" s="9">
        <v>956</v>
      </c>
      <c r="C62" s="9">
        <v>43</v>
      </c>
      <c r="D62" s="31">
        <v>0</v>
      </c>
      <c r="E62" s="9">
        <v>2</v>
      </c>
      <c r="F62" s="31">
        <v>0</v>
      </c>
      <c r="G62" s="10" t="s">
        <v>93</v>
      </c>
      <c r="H62" s="10" t="s">
        <v>93</v>
      </c>
      <c r="I62" s="9">
        <v>39</v>
      </c>
      <c r="J62" s="9">
        <v>872</v>
      </c>
      <c r="K62" s="23">
        <f t="shared" si="7"/>
        <v>95.555555555555557</v>
      </c>
      <c r="L62" s="24">
        <f t="shared" si="0"/>
        <v>0</v>
      </c>
      <c r="M62" s="24">
        <f t="shared" si="1"/>
        <v>4.4444444444444446</v>
      </c>
      <c r="N62" s="24">
        <f t="shared" si="2"/>
        <v>0</v>
      </c>
      <c r="O62" s="21">
        <f t="shared" si="6"/>
        <v>45</v>
      </c>
      <c r="P62" s="32"/>
      <c r="Q62" s="34">
        <f t="shared" si="3"/>
        <v>4.2810098792535678</v>
      </c>
      <c r="R62" s="34">
        <f t="shared" si="4"/>
        <v>95.71899012074644</v>
      </c>
      <c r="S62">
        <f t="shared" si="5"/>
        <v>911</v>
      </c>
      <c r="T62" s="32"/>
    </row>
    <row r="63" spans="1:26" x14ac:dyDescent="0.2">
      <c r="A63" s="14" t="s">
        <v>57</v>
      </c>
      <c r="B63" s="9">
        <v>333</v>
      </c>
      <c r="C63" s="9">
        <v>25</v>
      </c>
      <c r="D63" s="31">
        <v>0</v>
      </c>
      <c r="E63" s="9">
        <v>5</v>
      </c>
      <c r="F63" s="31">
        <v>0</v>
      </c>
      <c r="G63" s="10" t="s">
        <v>93</v>
      </c>
      <c r="H63" s="10" t="s">
        <v>93</v>
      </c>
      <c r="I63" s="9">
        <v>1</v>
      </c>
      <c r="J63" s="9">
        <v>302</v>
      </c>
      <c r="K63" s="23">
        <f t="shared" si="7"/>
        <v>83.333333333333343</v>
      </c>
      <c r="L63" s="24">
        <f t="shared" si="0"/>
        <v>0</v>
      </c>
      <c r="M63" s="24">
        <f t="shared" si="1"/>
        <v>16.666666666666668</v>
      </c>
      <c r="N63" s="24">
        <f t="shared" si="2"/>
        <v>0</v>
      </c>
      <c r="O63" s="21">
        <f t="shared" si="6"/>
        <v>30</v>
      </c>
      <c r="P63" s="32"/>
      <c r="Q63" s="34">
        <f t="shared" si="3"/>
        <v>0.33003300330033003</v>
      </c>
      <c r="R63" s="34">
        <f t="shared" si="4"/>
        <v>99.669966996699671</v>
      </c>
      <c r="S63">
        <f t="shared" si="5"/>
        <v>303</v>
      </c>
      <c r="T63" s="32"/>
    </row>
    <row r="64" spans="1:26" ht="12.75" customHeight="1" x14ac:dyDescent="0.2">
      <c r="A64" s="11" t="s">
        <v>99</v>
      </c>
      <c r="B64" s="9">
        <v>317</v>
      </c>
      <c r="C64" s="9">
        <v>21</v>
      </c>
      <c r="D64" s="31">
        <v>0</v>
      </c>
      <c r="E64" s="9">
        <v>5</v>
      </c>
      <c r="F64" s="31">
        <v>0</v>
      </c>
      <c r="G64" s="10" t="s">
        <v>93</v>
      </c>
      <c r="H64" s="10" t="s">
        <v>93</v>
      </c>
      <c r="I64" s="9">
        <v>7</v>
      </c>
      <c r="J64" s="9">
        <v>284</v>
      </c>
      <c r="K64" s="23">
        <f t="shared" si="7"/>
        <v>80.769230769230759</v>
      </c>
      <c r="L64" s="24">
        <f t="shared" si="0"/>
        <v>0</v>
      </c>
      <c r="M64" s="24">
        <f t="shared" si="1"/>
        <v>19.23076923076923</v>
      </c>
      <c r="N64" s="24">
        <f t="shared" si="2"/>
        <v>0</v>
      </c>
      <c r="O64" s="21">
        <f t="shared" si="6"/>
        <v>26</v>
      </c>
      <c r="P64" s="32"/>
      <c r="Q64" s="34">
        <f t="shared" si="3"/>
        <v>2.4054982817869415</v>
      </c>
      <c r="R64" s="34">
        <f t="shared" si="4"/>
        <v>97.594501718213053</v>
      </c>
      <c r="S64">
        <f t="shared" si="5"/>
        <v>291</v>
      </c>
      <c r="T64" s="32"/>
    </row>
    <row r="65" spans="1:26" x14ac:dyDescent="0.2">
      <c r="A65" s="14" t="s">
        <v>58</v>
      </c>
      <c r="B65" s="9">
        <v>111</v>
      </c>
      <c r="C65" s="9">
        <v>7</v>
      </c>
      <c r="D65" s="9">
        <v>13</v>
      </c>
      <c r="E65" s="9">
        <v>26</v>
      </c>
      <c r="F65" s="31">
        <v>0</v>
      </c>
      <c r="G65" s="10" t="s">
        <v>93</v>
      </c>
      <c r="H65" s="10" t="s">
        <v>93</v>
      </c>
      <c r="I65" s="29">
        <v>0</v>
      </c>
      <c r="J65" s="9">
        <v>65</v>
      </c>
      <c r="K65" s="23">
        <f t="shared" si="7"/>
        <v>15.217391304347826</v>
      </c>
      <c r="L65" s="24">
        <f t="shared" si="0"/>
        <v>28.260869565217391</v>
      </c>
      <c r="M65" s="24">
        <f t="shared" si="1"/>
        <v>56.521739130434781</v>
      </c>
      <c r="N65" s="24">
        <f t="shared" si="2"/>
        <v>0</v>
      </c>
      <c r="O65" s="21">
        <f t="shared" si="6"/>
        <v>46</v>
      </c>
      <c r="P65" s="32"/>
      <c r="Q65" s="34">
        <f t="shared" si="3"/>
        <v>0</v>
      </c>
      <c r="R65" s="34">
        <f t="shared" si="4"/>
        <v>100</v>
      </c>
      <c r="S65">
        <f t="shared" si="5"/>
        <v>65</v>
      </c>
      <c r="T65" s="32"/>
    </row>
    <row r="66" spans="1:26" x14ac:dyDescent="0.2">
      <c r="A66" s="14" t="s">
        <v>59</v>
      </c>
      <c r="B66" s="9">
        <v>364</v>
      </c>
      <c r="C66" s="9">
        <v>39</v>
      </c>
      <c r="D66" s="31">
        <v>0</v>
      </c>
      <c r="E66" s="9">
        <v>6</v>
      </c>
      <c r="F66" s="31">
        <v>0</v>
      </c>
      <c r="G66" s="10" t="s">
        <v>93</v>
      </c>
      <c r="H66" s="10" t="s">
        <v>93</v>
      </c>
      <c r="I66" s="9">
        <v>52</v>
      </c>
      <c r="J66" s="9">
        <v>267</v>
      </c>
      <c r="K66" s="23">
        <f t="shared" si="7"/>
        <v>86.666666666666671</v>
      </c>
      <c r="L66" s="24">
        <f t="shared" si="0"/>
        <v>0</v>
      </c>
      <c r="M66" s="24">
        <f t="shared" si="1"/>
        <v>13.333333333333332</v>
      </c>
      <c r="N66" s="24">
        <f t="shared" si="2"/>
        <v>0</v>
      </c>
      <c r="O66" s="21">
        <f t="shared" si="6"/>
        <v>45</v>
      </c>
      <c r="P66" s="32"/>
      <c r="Q66" s="34">
        <f t="shared" si="3"/>
        <v>16.300940438871475</v>
      </c>
      <c r="R66" s="34">
        <f t="shared" si="4"/>
        <v>83.699059561128522</v>
      </c>
      <c r="S66">
        <f t="shared" si="5"/>
        <v>319</v>
      </c>
      <c r="T66" s="32"/>
    </row>
    <row r="67" spans="1:26" x14ac:dyDescent="0.2">
      <c r="A67" s="14" t="s">
        <v>60</v>
      </c>
      <c r="B67" s="9">
        <v>368</v>
      </c>
      <c r="C67" s="9">
        <v>37</v>
      </c>
      <c r="D67" s="31">
        <v>0</v>
      </c>
      <c r="E67" s="9">
        <v>15</v>
      </c>
      <c r="F67" s="31">
        <v>0</v>
      </c>
      <c r="G67" s="10" t="s">
        <v>93</v>
      </c>
      <c r="H67" s="10" t="s">
        <v>93</v>
      </c>
      <c r="I67" s="9">
        <v>51</v>
      </c>
      <c r="J67" s="9">
        <v>265</v>
      </c>
      <c r="K67" s="23">
        <f t="shared" si="7"/>
        <v>71.153846153846146</v>
      </c>
      <c r="L67" s="24">
        <f t="shared" si="0"/>
        <v>0</v>
      </c>
      <c r="M67" s="24">
        <f t="shared" si="1"/>
        <v>28.846153846153847</v>
      </c>
      <c r="N67" s="24">
        <f t="shared" si="2"/>
        <v>0</v>
      </c>
      <c r="O67" s="21">
        <f t="shared" si="6"/>
        <v>52</v>
      </c>
      <c r="P67" s="32"/>
      <c r="Q67" s="34">
        <f t="shared" si="3"/>
        <v>16.139240506329113</v>
      </c>
      <c r="R67" s="34">
        <f t="shared" si="4"/>
        <v>83.860759493670884</v>
      </c>
      <c r="S67">
        <f t="shared" si="5"/>
        <v>316</v>
      </c>
      <c r="T67" s="32"/>
    </row>
    <row r="68" spans="1:26" x14ac:dyDescent="0.2">
      <c r="A68" s="14" t="s">
        <v>61</v>
      </c>
      <c r="B68" s="9">
        <v>487</v>
      </c>
      <c r="C68" s="9">
        <v>29</v>
      </c>
      <c r="D68" s="31">
        <v>0</v>
      </c>
      <c r="E68" s="9">
        <v>13</v>
      </c>
      <c r="F68" s="31">
        <v>0</v>
      </c>
      <c r="G68" s="10" t="s">
        <v>93</v>
      </c>
      <c r="H68" s="10" t="s">
        <v>93</v>
      </c>
      <c r="I68" s="29">
        <v>0</v>
      </c>
      <c r="J68" s="9">
        <v>445</v>
      </c>
      <c r="K68" s="23">
        <f t="shared" si="7"/>
        <v>69.047619047619051</v>
      </c>
      <c r="L68" s="24">
        <f t="shared" si="0"/>
        <v>0</v>
      </c>
      <c r="M68" s="24">
        <f t="shared" si="1"/>
        <v>30.952380952380953</v>
      </c>
      <c r="N68" s="24">
        <f t="shared" si="2"/>
        <v>0</v>
      </c>
      <c r="O68" s="21">
        <f t="shared" si="6"/>
        <v>42</v>
      </c>
      <c r="P68" s="32"/>
      <c r="Q68" s="34">
        <f t="shared" si="3"/>
        <v>0</v>
      </c>
      <c r="R68" s="34">
        <f t="shared" si="4"/>
        <v>100</v>
      </c>
      <c r="S68">
        <f t="shared" si="5"/>
        <v>445</v>
      </c>
      <c r="T68" s="32"/>
    </row>
    <row r="69" spans="1:26" x14ac:dyDescent="0.2">
      <c r="A69" s="14" t="s">
        <v>62</v>
      </c>
      <c r="B69" s="9">
        <v>318</v>
      </c>
      <c r="C69" s="9">
        <v>27</v>
      </c>
      <c r="D69" s="31">
        <v>0</v>
      </c>
      <c r="E69" s="9">
        <v>3</v>
      </c>
      <c r="F69" s="31">
        <v>0</v>
      </c>
      <c r="G69" s="10" t="s">
        <v>93</v>
      </c>
      <c r="H69" s="10" t="s">
        <v>93</v>
      </c>
      <c r="I69" s="9">
        <v>24</v>
      </c>
      <c r="J69" s="9">
        <v>264</v>
      </c>
      <c r="K69" s="23">
        <f t="shared" si="7"/>
        <v>90</v>
      </c>
      <c r="L69" s="24">
        <f t="shared" si="0"/>
        <v>0</v>
      </c>
      <c r="M69" s="24">
        <f t="shared" si="1"/>
        <v>10</v>
      </c>
      <c r="N69" s="24">
        <f t="shared" si="2"/>
        <v>0</v>
      </c>
      <c r="O69" s="21">
        <f t="shared" si="6"/>
        <v>30</v>
      </c>
      <c r="P69" s="32"/>
      <c r="Q69" s="34">
        <f t="shared" si="3"/>
        <v>8.3333333333333339</v>
      </c>
      <c r="R69" s="34">
        <f t="shared" si="4"/>
        <v>91.666666666666671</v>
      </c>
      <c r="S69">
        <f t="shared" si="5"/>
        <v>288</v>
      </c>
      <c r="T69" s="32"/>
    </row>
    <row r="70" spans="1:26" x14ac:dyDescent="0.2">
      <c r="A70" s="14" t="s">
        <v>63</v>
      </c>
      <c r="B70" s="9">
        <v>342</v>
      </c>
      <c r="C70" s="9">
        <v>27</v>
      </c>
      <c r="D70" s="31">
        <v>0</v>
      </c>
      <c r="E70" s="9">
        <v>9</v>
      </c>
      <c r="F70" s="9">
        <v>1</v>
      </c>
      <c r="G70" s="9">
        <v>9</v>
      </c>
      <c r="H70" s="10" t="s">
        <v>93</v>
      </c>
      <c r="I70" s="9">
        <v>12</v>
      </c>
      <c r="J70" s="9">
        <v>284</v>
      </c>
      <c r="K70" s="23">
        <f t="shared" si="7"/>
        <v>72.972972972972968</v>
      </c>
      <c r="L70" s="24">
        <f t="shared" si="0"/>
        <v>0</v>
      </c>
      <c r="M70" s="24">
        <f t="shared" si="1"/>
        <v>24.324324324324326</v>
      </c>
      <c r="N70" s="24">
        <f t="shared" si="2"/>
        <v>2.7027027027027026</v>
      </c>
      <c r="O70" s="21">
        <f t="shared" si="6"/>
        <v>37</v>
      </c>
      <c r="P70" s="32"/>
      <c r="Q70" s="34">
        <f t="shared" si="3"/>
        <v>4.0540540540540544</v>
      </c>
      <c r="R70" s="34">
        <f t="shared" si="4"/>
        <v>95.945945945945951</v>
      </c>
      <c r="S70">
        <f t="shared" si="5"/>
        <v>296</v>
      </c>
      <c r="T70" s="32"/>
    </row>
    <row r="71" spans="1:26" x14ac:dyDescent="0.2">
      <c r="A71" s="14" t="s">
        <v>64</v>
      </c>
      <c r="B71" s="9">
        <v>350</v>
      </c>
      <c r="C71" s="9">
        <v>38</v>
      </c>
      <c r="D71" s="31">
        <v>0</v>
      </c>
      <c r="E71" s="9">
        <v>4</v>
      </c>
      <c r="F71" s="31">
        <v>0</v>
      </c>
      <c r="G71" s="10" t="s">
        <v>93</v>
      </c>
      <c r="H71" s="10" t="s">
        <v>93</v>
      </c>
      <c r="I71" s="9">
        <v>39</v>
      </c>
      <c r="J71" s="9">
        <v>269</v>
      </c>
      <c r="K71" s="23">
        <f t="shared" si="7"/>
        <v>90.476190476190482</v>
      </c>
      <c r="L71" s="24">
        <f t="shared" si="0"/>
        <v>0</v>
      </c>
      <c r="M71" s="24">
        <f t="shared" si="1"/>
        <v>9.5238095238095237</v>
      </c>
      <c r="N71" s="24">
        <f t="shared" si="2"/>
        <v>0</v>
      </c>
      <c r="O71" s="21">
        <f t="shared" si="6"/>
        <v>42</v>
      </c>
      <c r="P71" s="32"/>
      <c r="Q71" s="34">
        <f t="shared" si="3"/>
        <v>12.662337662337663</v>
      </c>
      <c r="R71" s="34">
        <f t="shared" si="4"/>
        <v>87.337662337662337</v>
      </c>
      <c r="S71">
        <f t="shared" si="5"/>
        <v>308</v>
      </c>
      <c r="T71" s="32"/>
    </row>
    <row r="72" spans="1:26" x14ac:dyDescent="0.2">
      <c r="A72" s="14" t="s">
        <v>65</v>
      </c>
      <c r="B72" s="9">
        <v>167</v>
      </c>
      <c r="C72" s="9">
        <v>21</v>
      </c>
      <c r="D72" s="31">
        <v>0</v>
      </c>
      <c r="E72" s="9">
        <v>3</v>
      </c>
      <c r="F72" s="31">
        <v>0</v>
      </c>
      <c r="G72" s="10" t="s">
        <v>93</v>
      </c>
      <c r="H72" s="10" t="s">
        <v>93</v>
      </c>
      <c r="I72" s="9">
        <v>31</v>
      </c>
      <c r="J72" s="9">
        <v>112</v>
      </c>
      <c r="K72" s="23">
        <f t="shared" si="7"/>
        <v>87.5</v>
      </c>
      <c r="L72" s="24">
        <f t="shared" ref="L72:L104" si="8">D72/(O72/100)</f>
        <v>0</v>
      </c>
      <c r="M72" s="24">
        <f t="shared" ref="M72:M104" si="9">E72/(O72/100)</f>
        <v>12.5</v>
      </c>
      <c r="N72" s="24">
        <f t="shared" ref="N72:N104" si="10">F72/(O72/100)</f>
        <v>0</v>
      </c>
      <c r="O72" s="21">
        <f t="shared" si="6"/>
        <v>24</v>
      </c>
      <c r="P72" s="32"/>
      <c r="Q72" s="34">
        <f t="shared" ref="Q72:Q104" si="11">I72/(S72/100)</f>
        <v>21.67832167832168</v>
      </c>
      <c r="R72" s="34">
        <f t="shared" ref="R72:R104" si="12">J72/(S72/100)</f>
        <v>78.32167832167832</v>
      </c>
      <c r="S72">
        <f t="shared" ref="S72:S104" si="13">SUM(I72,J72)</f>
        <v>143</v>
      </c>
      <c r="T72" s="32"/>
    </row>
    <row r="73" spans="1:26" s="6" customFormat="1" ht="11.25" customHeight="1" x14ac:dyDescent="0.2">
      <c r="A73" s="16" t="s">
        <v>66</v>
      </c>
      <c r="B73" s="7">
        <v>1265</v>
      </c>
      <c r="C73" s="7">
        <v>92</v>
      </c>
      <c r="D73" s="31">
        <v>0</v>
      </c>
      <c r="E73" s="7">
        <v>110</v>
      </c>
      <c r="F73" s="7">
        <v>1</v>
      </c>
      <c r="G73" s="7">
        <v>7</v>
      </c>
      <c r="H73" s="8" t="s">
        <v>93</v>
      </c>
      <c r="I73" s="7">
        <v>77</v>
      </c>
      <c r="J73" s="7">
        <v>978</v>
      </c>
      <c r="K73" s="123">
        <f>C73/(O73/100)</f>
        <v>45.320197044334982</v>
      </c>
      <c r="L73" s="24">
        <f t="shared" si="8"/>
        <v>0</v>
      </c>
      <c r="M73" s="124">
        <f t="shared" si="9"/>
        <v>54.187192118226605</v>
      </c>
      <c r="N73" s="24">
        <f t="shared" si="10"/>
        <v>0.49261083743842371</v>
      </c>
      <c r="O73" s="21">
        <f t="shared" ref="O73:O104" si="14">SUM(C73,D73,E73,F73)</f>
        <v>203</v>
      </c>
      <c r="P73" s="32"/>
      <c r="Q73" s="125">
        <f t="shared" si="11"/>
        <v>7.2985781990521321</v>
      </c>
      <c r="R73" s="125">
        <f t="shared" si="12"/>
        <v>92.701421800947855</v>
      </c>
      <c r="S73">
        <f t="shared" si="13"/>
        <v>1055</v>
      </c>
      <c r="T73" s="32"/>
      <c r="U73"/>
      <c r="V73"/>
      <c r="W73"/>
      <c r="X73"/>
      <c r="Y73"/>
      <c r="Z73"/>
    </row>
    <row r="74" spans="1:26" x14ac:dyDescent="0.2">
      <c r="A74" s="14" t="s">
        <v>67</v>
      </c>
      <c r="B74" s="9">
        <v>393</v>
      </c>
      <c r="C74" s="9">
        <v>24</v>
      </c>
      <c r="D74" s="31">
        <v>0</v>
      </c>
      <c r="E74" s="9">
        <v>2</v>
      </c>
      <c r="F74" s="31">
        <v>0</v>
      </c>
      <c r="G74" s="10" t="s">
        <v>93</v>
      </c>
      <c r="H74" s="10" t="s">
        <v>93</v>
      </c>
      <c r="I74" s="9">
        <v>13</v>
      </c>
      <c r="J74" s="9">
        <v>354</v>
      </c>
      <c r="K74" s="23">
        <f t="shared" ref="K74:K104" si="15">C74/(O74/100)</f>
        <v>92.307692307692307</v>
      </c>
      <c r="L74" s="24">
        <f t="shared" si="8"/>
        <v>0</v>
      </c>
      <c r="M74" s="24">
        <f t="shared" si="9"/>
        <v>7.6923076923076916</v>
      </c>
      <c r="N74" s="24">
        <f t="shared" si="10"/>
        <v>0</v>
      </c>
      <c r="O74" s="21">
        <f t="shared" si="14"/>
        <v>26</v>
      </c>
      <c r="P74" s="32"/>
      <c r="Q74" s="34">
        <f t="shared" si="11"/>
        <v>3.542234332425068</v>
      </c>
      <c r="R74" s="34">
        <f t="shared" si="12"/>
        <v>96.457765667574932</v>
      </c>
      <c r="S74">
        <f t="shared" si="13"/>
        <v>367</v>
      </c>
      <c r="T74" s="32"/>
    </row>
    <row r="75" spans="1:26" x14ac:dyDescent="0.2">
      <c r="A75" s="15" t="s">
        <v>68</v>
      </c>
      <c r="B75" s="9">
        <v>94</v>
      </c>
      <c r="C75" s="9">
        <v>5</v>
      </c>
      <c r="D75" s="31">
        <v>0</v>
      </c>
      <c r="E75" s="9">
        <v>68</v>
      </c>
      <c r="F75" s="31">
        <v>0</v>
      </c>
      <c r="G75" s="10" t="s">
        <v>93</v>
      </c>
      <c r="H75" s="10" t="s">
        <v>93</v>
      </c>
      <c r="I75" s="9">
        <v>5</v>
      </c>
      <c r="J75" s="9">
        <v>16</v>
      </c>
      <c r="K75" s="23">
        <f t="shared" si="15"/>
        <v>6.8493150684931505</v>
      </c>
      <c r="L75" s="24">
        <f t="shared" si="8"/>
        <v>0</v>
      </c>
      <c r="M75" s="24">
        <f t="shared" si="9"/>
        <v>93.150684931506845</v>
      </c>
      <c r="N75" s="24">
        <f t="shared" si="10"/>
        <v>0</v>
      </c>
      <c r="O75" s="21">
        <f t="shared" si="14"/>
        <v>73</v>
      </c>
      <c r="P75" s="32"/>
      <c r="Q75" s="34">
        <f t="shared" si="11"/>
        <v>23.80952380952381</v>
      </c>
      <c r="R75" s="34">
        <f t="shared" si="12"/>
        <v>76.19047619047619</v>
      </c>
      <c r="S75">
        <f t="shared" si="13"/>
        <v>21</v>
      </c>
      <c r="T75" s="32"/>
    </row>
    <row r="76" spans="1:26" x14ac:dyDescent="0.2">
      <c r="A76" s="14" t="s">
        <v>69</v>
      </c>
      <c r="B76" s="9">
        <v>459</v>
      </c>
      <c r="C76" s="9">
        <v>36</v>
      </c>
      <c r="D76" s="31">
        <v>0</v>
      </c>
      <c r="E76" s="9">
        <v>25</v>
      </c>
      <c r="F76" s="31">
        <v>0</v>
      </c>
      <c r="G76" s="10" t="s">
        <v>93</v>
      </c>
      <c r="H76" s="10" t="s">
        <v>93</v>
      </c>
      <c r="I76" s="9">
        <v>32</v>
      </c>
      <c r="J76" s="9">
        <v>366</v>
      </c>
      <c r="K76" s="23">
        <f t="shared" si="15"/>
        <v>59.016393442622949</v>
      </c>
      <c r="L76" s="24">
        <f t="shared" si="8"/>
        <v>0</v>
      </c>
      <c r="M76" s="24">
        <f t="shared" si="9"/>
        <v>40.983606557377051</v>
      </c>
      <c r="N76" s="24">
        <f t="shared" si="10"/>
        <v>0</v>
      </c>
      <c r="O76" s="21">
        <f t="shared" si="14"/>
        <v>61</v>
      </c>
      <c r="P76" s="32"/>
      <c r="Q76" s="34">
        <f>I76/(S76/100)</f>
        <v>8.0402010050251249</v>
      </c>
      <c r="R76" s="34">
        <f t="shared" si="12"/>
        <v>91.959798994974875</v>
      </c>
      <c r="S76">
        <f t="shared" si="13"/>
        <v>398</v>
      </c>
      <c r="T76" s="32"/>
    </row>
    <row r="77" spans="1:26" ht="15" x14ac:dyDescent="0.25">
      <c r="A77" s="11" t="s">
        <v>108</v>
      </c>
      <c r="B77" s="9"/>
      <c r="C77" s="9"/>
      <c r="D77" s="10"/>
      <c r="E77" s="9"/>
      <c r="F77" s="10"/>
      <c r="G77" s="10"/>
      <c r="H77" s="10"/>
      <c r="I77" s="9"/>
      <c r="J77" s="9"/>
      <c r="K77" s="26"/>
      <c r="L77" s="27"/>
      <c r="M77" s="27"/>
      <c r="N77" s="27"/>
      <c r="O77" s="28"/>
      <c r="P77" s="32"/>
      <c r="Q77" s="27"/>
      <c r="R77" s="27"/>
      <c r="S77" s="18"/>
      <c r="T77" s="32"/>
    </row>
    <row r="78" spans="1:26" ht="22.5" x14ac:dyDescent="0.2">
      <c r="A78" s="12" t="s">
        <v>109</v>
      </c>
      <c r="B78" s="9">
        <v>105</v>
      </c>
      <c r="C78" s="9">
        <v>9</v>
      </c>
      <c r="D78" s="31">
        <v>0</v>
      </c>
      <c r="E78" s="9">
        <v>13</v>
      </c>
      <c r="F78" s="31">
        <v>0</v>
      </c>
      <c r="G78" s="10" t="s">
        <v>93</v>
      </c>
      <c r="H78" s="10" t="s">
        <v>93</v>
      </c>
      <c r="I78" s="9">
        <v>26</v>
      </c>
      <c r="J78" s="9">
        <v>57</v>
      </c>
      <c r="K78" s="23">
        <f t="shared" si="15"/>
        <v>40.909090909090907</v>
      </c>
      <c r="L78" s="24">
        <f t="shared" si="8"/>
        <v>0</v>
      </c>
      <c r="M78" s="24">
        <f t="shared" si="9"/>
        <v>59.090909090909093</v>
      </c>
      <c r="N78" s="24">
        <f t="shared" si="10"/>
        <v>0</v>
      </c>
      <c r="O78" s="21">
        <f t="shared" si="14"/>
        <v>22</v>
      </c>
      <c r="P78" s="32"/>
      <c r="Q78" s="34">
        <f t="shared" si="11"/>
        <v>31.325301204819279</v>
      </c>
      <c r="R78" s="34">
        <f t="shared" si="12"/>
        <v>68.674698795180731</v>
      </c>
      <c r="S78">
        <f t="shared" si="13"/>
        <v>83</v>
      </c>
      <c r="T78" s="32"/>
    </row>
    <row r="79" spans="1:26" ht="22.5" x14ac:dyDescent="0.2">
      <c r="A79" s="12" t="s">
        <v>110</v>
      </c>
      <c r="B79" s="9">
        <v>55</v>
      </c>
      <c r="C79" s="9">
        <v>7</v>
      </c>
      <c r="D79" s="31">
        <v>0</v>
      </c>
      <c r="E79" s="9">
        <v>6</v>
      </c>
      <c r="F79" s="31">
        <v>0</v>
      </c>
      <c r="G79" s="10" t="s">
        <v>93</v>
      </c>
      <c r="H79" s="10" t="s">
        <v>93</v>
      </c>
      <c r="I79" s="9">
        <v>6</v>
      </c>
      <c r="J79" s="9">
        <v>36</v>
      </c>
      <c r="K79" s="23">
        <f t="shared" si="15"/>
        <v>53.846153846153847</v>
      </c>
      <c r="L79" s="24">
        <f t="shared" si="8"/>
        <v>0</v>
      </c>
      <c r="M79" s="24">
        <f t="shared" si="9"/>
        <v>46.153846153846153</v>
      </c>
      <c r="N79" s="24">
        <f t="shared" si="10"/>
        <v>0</v>
      </c>
      <c r="O79" s="21">
        <f t="shared" si="14"/>
        <v>13</v>
      </c>
      <c r="P79" s="32"/>
      <c r="Q79" s="34">
        <f t="shared" si="11"/>
        <v>14.285714285714286</v>
      </c>
      <c r="R79" s="34">
        <f t="shared" si="12"/>
        <v>85.714285714285722</v>
      </c>
      <c r="S79">
        <f t="shared" si="13"/>
        <v>42</v>
      </c>
      <c r="T79" s="32"/>
    </row>
    <row r="80" spans="1:26" ht="22.5" x14ac:dyDescent="0.2">
      <c r="A80" s="12" t="s">
        <v>111</v>
      </c>
      <c r="B80" s="9">
        <v>299</v>
      </c>
      <c r="C80" s="9">
        <v>20</v>
      </c>
      <c r="D80" s="31">
        <v>0</v>
      </c>
      <c r="E80" s="9">
        <v>6</v>
      </c>
      <c r="F80" s="31">
        <v>0</v>
      </c>
      <c r="G80" s="10" t="s">
        <v>93</v>
      </c>
      <c r="H80" s="10" t="s">
        <v>93</v>
      </c>
      <c r="I80" s="29">
        <v>0</v>
      </c>
      <c r="J80" s="9">
        <v>273</v>
      </c>
      <c r="K80" s="23">
        <f t="shared" si="15"/>
        <v>76.92307692307692</v>
      </c>
      <c r="L80" s="24">
        <f t="shared" si="8"/>
        <v>0</v>
      </c>
      <c r="M80" s="24">
        <f t="shared" si="9"/>
        <v>23.076923076923077</v>
      </c>
      <c r="N80" s="24">
        <f t="shared" si="10"/>
        <v>0</v>
      </c>
      <c r="O80" s="21">
        <f t="shared" si="14"/>
        <v>26</v>
      </c>
      <c r="P80" s="32"/>
      <c r="Q80" s="34">
        <v>0</v>
      </c>
      <c r="R80" s="34">
        <f t="shared" si="12"/>
        <v>100</v>
      </c>
      <c r="S80">
        <f t="shared" si="13"/>
        <v>273</v>
      </c>
      <c r="T80" s="32"/>
    </row>
    <row r="81" spans="1:26" x14ac:dyDescent="0.2">
      <c r="A81" s="14" t="s">
        <v>70</v>
      </c>
      <c r="B81" s="9">
        <v>319</v>
      </c>
      <c r="C81" s="9">
        <v>27</v>
      </c>
      <c r="D81" s="31">
        <v>0</v>
      </c>
      <c r="E81" s="9">
        <v>15</v>
      </c>
      <c r="F81" s="9">
        <v>1</v>
      </c>
      <c r="G81" s="9">
        <v>7</v>
      </c>
      <c r="H81" s="10" t="s">
        <v>93</v>
      </c>
      <c r="I81" s="9">
        <v>27</v>
      </c>
      <c r="J81" s="9">
        <v>242</v>
      </c>
      <c r="K81" s="23">
        <f t="shared" si="15"/>
        <v>62.790697674418603</v>
      </c>
      <c r="L81" s="24">
        <f t="shared" si="8"/>
        <v>0</v>
      </c>
      <c r="M81" s="24">
        <f t="shared" si="9"/>
        <v>34.883720930232556</v>
      </c>
      <c r="N81" s="24">
        <f t="shared" si="10"/>
        <v>2.3255813953488373</v>
      </c>
      <c r="O81" s="21">
        <f t="shared" si="14"/>
        <v>43</v>
      </c>
      <c r="P81" s="32"/>
      <c r="Q81" s="34">
        <f t="shared" si="11"/>
        <v>10.037174721189592</v>
      </c>
      <c r="R81" s="34">
        <f t="shared" si="12"/>
        <v>89.962825278810413</v>
      </c>
      <c r="S81">
        <f t="shared" si="13"/>
        <v>269</v>
      </c>
      <c r="T81" s="32"/>
    </row>
    <row r="82" spans="1:26" s="6" customFormat="1" ht="22.5" x14ac:dyDescent="0.2">
      <c r="A82" s="13" t="s">
        <v>71</v>
      </c>
      <c r="B82" s="7">
        <v>3217</v>
      </c>
      <c r="C82" s="7">
        <v>253</v>
      </c>
      <c r="D82" s="7">
        <v>13</v>
      </c>
      <c r="E82" s="7">
        <v>71</v>
      </c>
      <c r="F82" s="31">
        <v>0</v>
      </c>
      <c r="G82" s="8" t="s">
        <v>93</v>
      </c>
      <c r="H82" s="8" t="s">
        <v>93</v>
      </c>
      <c r="I82" s="7">
        <v>164</v>
      </c>
      <c r="J82" s="7">
        <v>2716</v>
      </c>
      <c r="K82" s="123">
        <f t="shared" si="15"/>
        <v>75.074183976261125</v>
      </c>
      <c r="L82" s="24">
        <f t="shared" si="8"/>
        <v>3.857566765578635</v>
      </c>
      <c r="M82" s="124">
        <f t="shared" si="9"/>
        <v>21.068249258160236</v>
      </c>
      <c r="N82" s="24">
        <f t="shared" si="10"/>
        <v>0</v>
      </c>
      <c r="O82" s="21">
        <f t="shared" si="14"/>
        <v>337</v>
      </c>
      <c r="P82" s="32"/>
      <c r="Q82" s="125">
        <f t="shared" si="11"/>
        <v>5.6944444444444446</v>
      </c>
      <c r="R82" s="125">
        <f t="shared" si="12"/>
        <v>94.305555555555557</v>
      </c>
      <c r="S82">
        <f t="shared" si="13"/>
        <v>2880</v>
      </c>
      <c r="T82" s="32"/>
      <c r="U82"/>
      <c r="V82"/>
      <c r="W82"/>
      <c r="X82"/>
      <c r="Y82"/>
      <c r="Z82"/>
    </row>
    <row r="83" spans="1:26" x14ac:dyDescent="0.2">
      <c r="A83" s="14" t="s">
        <v>72</v>
      </c>
      <c r="B83" s="9">
        <v>102</v>
      </c>
      <c r="C83" s="9">
        <v>10</v>
      </c>
      <c r="D83" s="31">
        <v>0</v>
      </c>
      <c r="E83" s="9">
        <v>1</v>
      </c>
      <c r="F83" s="31">
        <v>0</v>
      </c>
      <c r="G83" s="10" t="s">
        <v>93</v>
      </c>
      <c r="H83" s="10" t="s">
        <v>93</v>
      </c>
      <c r="I83" s="29">
        <v>0</v>
      </c>
      <c r="J83" s="9">
        <v>91</v>
      </c>
      <c r="K83" s="23">
        <f t="shared" si="15"/>
        <v>90.909090909090907</v>
      </c>
      <c r="L83" s="24">
        <f t="shared" si="8"/>
        <v>0</v>
      </c>
      <c r="M83" s="24">
        <f t="shared" si="9"/>
        <v>9.0909090909090917</v>
      </c>
      <c r="N83" s="24">
        <f t="shared" si="10"/>
        <v>0</v>
      </c>
      <c r="O83" s="21">
        <f t="shared" si="14"/>
        <v>11</v>
      </c>
      <c r="P83" s="32"/>
      <c r="Q83" s="34">
        <v>0</v>
      </c>
      <c r="R83" s="34">
        <f t="shared" si="12"/>
        <v>100</v>
      </c>
      <c r="S83">
        <f t="shared" si="13"/>
        <v>91</v>
      </c>
      <c r="T83" s="32"/>
    </row>
    <row r="84" spans="1:26" x14ac:dyDescent="0.2">
      <c r="A84" s="14" t="s">
        <v>73</v>
      </c>
      <c r="B84" s="9">
        <v>143</v>
      </c>
      <c r="C84" s="9">
        <v>17</v>
      </c>
      <c r="D84" s="31">
        <v>0</v>
      </c>
      <c r="E84" s="9">
        <v>2</v>
      </c>
      <c r="F84" s="31">
        <v>0</v>
      </c>
      <c r="G84" s="10" t="s">
        <v>93</v>
      </c>
      <c r="H84" s="10" t="s">
        <v>93</v>
      </c>
      <c r="I84" s="9">
        <v>4</v>
      </c>
      <c r="J84" s="9">
        <v>120</v>
      </c>
      <c r="K84" s="23">
        <f t="shared" si="15"/>
        <v>89.473684210526315</v>
      </c>
      <c r="L84" s="24">
        <f t="shared" si="8"/>
        <v>0</v>
      </c>
      <c r="M84" s="24">
        <f t="shared" si="9"/>
        <v>10.526315789473685</v>
      </c>
      <c r="N84" s="24">
        <f t="shared" si="10"/>
        <v>0</v>
      </c>
      <c r="O84" s="21">
        <f t="shared" si="14"/>
        <v>19</v>
      </c>
      <c r="P84" s="32"/>
      <c r="Q84" s="34">
        <f t="shared" si="11"/>
        <v>3.2258064516129035</v>
      </c>
      <c r="R84" s="34">
        <f t="shared" si="12"/>
        <v>96.774193548387103</v>
      </c>
      <c r="S84">
        <f t="shared" si="13"/>
        <v>124</v>
      </c>
      <c r="T84" s="32"/>
    </row>
    <row r="85" spans="1:26" x14ac:dyDescent="0.2">
      <c r="A85" s="14" t="s">
        <v>74</v>
      </c>
      <c r="B85" s="9">
        <v>100</v>
      </c>
      <c r="C85" s="9">
        <v>8</v>
      </c>
      <c r="D85" s="31">
        <v>0</v>
      </c>
      <c r="E85" s="9">
        <v>5</v>
      </c>
      <c r="F85" s="31">
        <v>0</v>
      </c>
      <c r="G85" s="10" t="s">
        <v>93</v>
      </c>
      <c r="H85" s="10" t="s">
        <v>93</v>
      </c>
      <c r="I85" s="9">
        <v>4</v>
      </c>
      <c r="J85" s="9">
        <v>83</v>
      </c>
      <c r="K85" s="23">
        <f t="shared" si="15"/>
        <v>61.538461538461533</v>
      </c>
      <c r="L85" s="24">
        <f t="shared" si="8"/>
        <v>0</v>
      </c>
      <c r="M85" s="24">
        <f t="shared" si="9"/>
        <v>38.46153846153846</v>
      </c>
      <c r="N85" s="24">
        <f t="shared" si="10"/>
        <v>0</v>
      </c>
      <c r="O85" s="21">
        <f t="shared" si="14"/>
        <v>13</v>
      </c>
      <c r="P85" s="32"/>
      <c r="Q85" s="34">
        <f t="shared" si="11"/>
        <v>4.5977011494252871</v>
      </c>
      <c r="R85" s="34">
        <f t="shared" si="12"/>
        <v>95.402298850574709</v>
      </c>
      <c r="S85">
        <f t="shared" si="13"/>
        <v>87</v>
      </c>
      <c r="T85" s="32"/>
    </row>
    <row r="86" spans="1:26" x14ac:dyDescent="0.2">
      <c r="A86" s="14" t="s">
        <v>75</v>
      </c>
      <c r="B86" s="9">
        <v>717</v>
      </c>
      <c r="C86" s="9">
        <v>59</v>
      </c>
      <c r="D86" s="31">
        <v>0</v>
      </c>
      <c r="E86" s="9">
        <v>10</v>
      </c>
      <c r="F86" s="31">
        <v>0</v>
      </c>
      <c r="G86" s="10" t="s">
        <v>93</v>
      </c>
      <c r="H86" s="10" t="s">
        <v>93</v>
      </c>
      <c r="I86" s="9">
        <v>7</v>
      </c>
      <c r="J86" s="9">
        <v>641</v>
      </c>
      <c r="K86" s="23">
        <f t="shared" si="15"/>
        <v>85.507246376811594</v>
      </c>
      <c r="L86" s="24">
        <f t="shared" si="8"/>
        <v>0</v>
      </c>
      <c r="M86" s="24">
        <f t="shared" si="9"/>
        <v>14.492753623188406</v>
      </c>
      <c r="N86" s="24">
        <f t="shared" si="10"/>
        <v>0</v>
      </c>
      <c r="O86" s="21">
        <f t="shared" si="14"/>
        <v>69</v>
      </c>
      <c r="P86" s="32"/>
      <c r="Q86" s="34">
        <f t="shared" si="11"/>
        <v>1.0802469135802468</v>
      </c>
      <c r="R86" s="34">
        <f t="shared" si="12"/>
        <v>98.919753086419746</v>
      </c>
      <c r="S86">
        <f t="shared" si="13"/>
        <v>648</v>
      </c>
      <c r="T86" s="32"/>
    </row>
    <row r="87" spans="1:26" x14ac:dyDescent="0.2">
      <c r="A87" s="14" t="s">
        <v>76</v>
      </c>
      <c r="B87" s="9">
        <v>569</v>
      </c>
      <c r="C87" s="9">
        <v>44</v>
      </c>
      <c r="D87" s="31">
        <v>0</v>
      </c>
      <c r="E87" s="9">
        <v>17</v>
      </c>
      <c r="F87" s="31">
        <v>0</v>
      </c>
      <c r="G87" s="10" t="s">
        <v>93</v>
      </c>
      <c r="H87" s="10" t="s">
        <v>93</v>
      </c>
      <c r="I87" s="9">
        <v>26</v>
      </c>
      <c r="J87" s="9">
        <v>482</v>
      </c>
      <c r="K87" s="23">
        <f t="shared" si="15"/>
        <v>72.131147540983605</v>
      </c>
      <c r="L87" s="24">
        <f t="shared" si="8"/>
        <v>0</v>
      </c>
      <c r="M87" s="24">
        <f t="shared" si="9"/>
        <v>27.868852459016395</v>
      </c>
      <c r="N87" s="24">
        <f t="shared" si="10"/>
        <v>0</v>
      </c>
      <c r="O87" s="21">
        <f t="shared" si="14"/>
        <v>61</v>
      </c>
      <c r="P87" s="32"/>
      <c r="Q87" s="34">
        <f t="shared" si="11"/>
        <v>5.1181102362204722</v>
      </c>
      <c r="R87" s="34">
        <f t="shared" si="12"/>
        <v>94.881889763779526</v>
      </c>
      <c r="S87">
        <f t="shared" si="13"/>
        <v>508</v>
      </c>
      <c r="T87" s="32"/>
    </row>
    <row r="88" spans="1:26" x14ac:dyDescent="0.2">
      <c r="A88" s="14" t="s">
        <v>77</v>
      </c>
      <c r="B88" s="9">
        <v>454</v>
      </c>
      <c r="C88" s="9">
        <v>32</v>
      </c>
      <c r="D88" s="31">
        <v>0</v>
      </c>
      <c r="E88" s="9">
        <v>10</v>
      </c>
      <c r="F88" s="31">
        <v>0</v>
      </c>
      <c r="G88" s="10" t="s">
        <v>93</v>
      </c>
      <c r="H88" s="10" t="s">
        <v>93</v>
      </c>
      <c r="I88" s="9">
        <v>58</v>
      </c>
      <c r="J88" s="9">
        <v>354</v>
      </c>
      <c r="K88" s="23">
        <f t="shared" si="15"/>
        <v>76.19047619047619</v>
      </c>
      <c r="L88" s="24">
        <f t="shared" si="8"/>
        <v>0</v>
      </c>
      <c r="M88" s="24">
        <f t="shared" si="9"/>
        <v>23.80952380952381</v>
      </c>
      <c r="N88" s="24">
        <f t="shared" si="10"/>
        <v>0</v>
      </c>
      <c r="O88" s="21">
        <f t="shared" si="14"/>
        <v>42</v>
      </c>
      <c r="P88" s="32"/>
      <c r="Q88" s="34">
        <f t="shared" si="11"/>
        <v>14.077669902912621</v>
      </c>
      <c r="R88" s="34">
        <f t="shared" si="12"/>
        <v>85.922330097087382</v>
      </c>
      <c r="S88">
        <f t="shared" si="13"/>
        <v>412</v>
      </c>
      <c r="T88" s="32"/>
    </row>
    <row r="89" spans="1:26" x14ac:dyDescent="0.2">
      <c r="A89" s="11" t="s">
        <v>101</v>
      </c>
      <c r="B89" s="9">
        <v>84</v>
      </c>
      <c r="C89" s="9">
        <v>5</v>
      </c>
      <c r="D89" s="9">
        <v>13</v>
      </c>
      <c r="E89" s="9">
        <v>16</v>
      </c>
      <c r="F89" s="31">
        <v>0</v>
      </c>
      <c r="G89" s="10" t="s">
        <v>93</v>
      </c>
      <c r="H89" s="10" t="s">
        <v>93</v>
      </c>
      <c r="I89" s="9">
        <v>10</v>
      </c>
      <c r="J89" s="9">
        <v>40</v>
      </c>
      <c r="K89" s="23">
        <f t="shared" si="15"/>
        <v>14.705882352941176</v>
      </c>
      <c r="L89" s="24">
        <f t="shared" si="8"/>
        <v>38.235294117647058</v>
      </c>
      <c r="M89" s="24">
        <f t="shared" si="9"/>
        <v>47.058823529411761</v>
      </c>
      <c r="N89" s="24">
        <f t="shared" si="10"/>
        <v>0</v>
      </c>
      <c r="O89" s="21">
        <f t="shared" si="14"/>
        <v>34</v>
      </c>
      <c r="P89" s="32"/>
      <c r="Q89" s="34">
        <f t="shared" si="11"/>
        <v>20</v>
      </c>
      <c r="R89" s="34">
        <f t="shared" si="12"/>
        <v>80</v>
      </c>
      <c r="S89">
        <f t="shared" si="13"/>
        <v>50</v>
      </c>
      <c r="T89" s="32"/>
    </row>
    <row r="90" spans="1:26" x14ac:dyDescent="0.2">
      <c r="A90" s="14" t="s">
        <v>78</v>
      </c>
      <c r="B90" s="9">
        <v>490</v>
      </c>
      <c r="C90" s="9">
        <v>30</v>
      </c>
      <c r="D90" s="31">
        <v>0</v>
      </c>
      <c r="E90" s="9">
        <v>5</v>
      </c>
      <c r="F90" s="31">
        <v>0</v>
      </c>
      <c r="G90" s="10" t="s">
        <v>93</v>
      </c>
      <c r="H90" s="10" t="s">
        <v>93</v>
      </c>
      <c r="I90" s="9">
        <v>26</v>
      </c>
      <c r="J90" s="9">
        <v>429</v>
      </c>
      <c r="K90" s="23">
        <f t="shared" si="15"/>
        <v>85.714285714285722</v>
      </c>
      <c r="L90" s="24">
        <f t="shared" si="8"/>
        <v>0</v>
      </c>
      <c r="M90" s="24">
        <f t="shared" si="9"/>
        <v>14.285714285714286</v>
      </c>
      <c r="N90" s="24">
        <f t="shared" si="10"/>
        <v>0</v>
      </c>
      <c r="O90" s="21">
        <f t="shared" si="14"/>
        <v>35</v>
      </c>
      <c r="P90" s="32"/>
      <c r="Q90" s="34">
        <f t="shared" si="11"/>
        <v>5.7142857142857144</v>
      </c>
      <c r="R90" s="34">
        <f t="shared" si="12"/>
        <v>94.285714285714292</v>
      </c>
      <c r="S90">
        <f t="shared" si="13"/>
        <v>455</v>
      </c>
      <c r="T90" s="32"/>
    </row>
    <row r="91" spans="1:26" x14ac:dyDescent="0.2">
      <c r="A91" s="14" t="s">
        <v>79</v>
      </c>
      <c r="B91" s="9">
        <v>423</v>
      </c>
      <c r="C91" s="9">
        <v>32</v>
      </c>
      <c r="D91" s="31">
        <v>0</v>
      </c>
      <c r="E91" s="9">
        <v>1</v>
      </c>
      <c r="F91" s="31">
        <v>0</v>
      </c>
      <c r="G91" s="10" t="s">
        <v>93</v>
      </c>
      <c r="H91" s="10" t="s">
        <v>93</v>
      </c>
      <c r="I91" s="9">
        <v>26</v>
      </c>
      <c r="J91" s="9">
        <v>364</v>
      </c>
      <c r="K91" s="23">
        <f t="shared" si="15"/>
        <v>96.969696969696969</v>
      </c>
      <c r="L91" s="24">
        <f t="shared" si="8"/>
        <v>0</v>
      </c>
      <c r="M91" s="24">
        <f t="shared" si="9"/>
        <v>3.0303030303030303</v>
      </c>
      <c r="N91" s="24">
        <f t="shared" si="10"/>
        <v>0</v>
      </c>
      <c r="O91" s="21">
        <f t="shared" si="14"/>
        <v>33</v>
      </c>
      <c r="P91" s="32"/>
      <c r="Q91" s="34">
        <f t="shared" si="11"/>
        <v>6.666666666666667</v>
      </c>
      <c r="R91" s="34">
        <f t="shared" si="12"/>
        <v>93.333333333333329</v>
      </c>
      <c r="S91">
        <f t="shared" si="13"/>
        <v>390</v>
      </c>
      <c r="T91" s="32"/>
    </row>
    <row r="92" spans="1:26" x14ac:dyDescent="0.2">
      <c r="A92" s="14" t="s">
        <v>80</v>
      </c>
      <c r="B92" s="9">
        <v>135</v>
      </c>
      <c r="C92" s="9">
        <v>16</v>
      </c>
      <c r="D92" s="31">
        <v>0</v>
      </c>
      <c r="E92" s="9">
        <v>4</v>
      </c>
      <c r="F92" s="31">
        <v>0</v>
      </c>
      <c r="G92" s="10" t="s">
        <v>93</v>
      </c>
      <c r="H92" s="10" t="s">
        <v>93</v>
      </c>
      <c r="I92" s="9">
        <v>3</v>
      </c>
      <c r="J92" s="9">
        <v>112</v>
      </c>
      <c r="K92" s="23">
        <f t="shared" si="15"/>
        <v>80</v>
      </c>
      <c r="L92" s="24">
        <f t="shared" si="8"/>
        <v>0</v>
      </c>
      <c r="M92" s="24">
        <f t="shared" si="9"/>
        <v>20</v>
      </c>
      <c r="N92" s="24">
        <f t="shared" si="10"/>
        <v>0</v>
      </c>
      <c r="O92" s="21">
        <f t="shared" si="14"/>
        <v>20</v>
      </c>
      <c r="P92" s="32"/>
      <c r="Q92" s="34">
        <f t="shared" si="11"/>
        <v>2.6086956521739131</v>
      </c>
      <c r="R92" s="34">
        <f t="shared" si="12"/>
        <v>97.391304347826093</v>
      </c>
      <c r="S92">
        <f t="shared" si="13"/>
        <v>115</v>
      </c>
      <c r="T92" s="32"/>
    </row>
    <row r="93" spans="1:26" s="6" customFormat="1" ht="22.5" x14ac:dyDescent="0.2">
      <c r="A93" s="13" t="s">
        <v>81</v>
      </c>
      <c r="B93" s="7">
        <v>1961</v>
      </c>
      <c r="C93" s="7">
        <v>161</v>
      </c>
      <c r="D93" s="7">
        <v>3</v>
      </c>
      <c r="E93" s="7">
        <v>66</v>
      </c>
      <c r="F93" s="31">
        <v>0</v>
      </c>
      <c r="G93" s="8" t="s">
        <v>93</v>
      </c>
      <c r="H93" s="8" t="s">
        <v>93</v>
      </c>
      <c r="I93" s="7">
        <v>182</v>
      </c>
      <c r="J93" s="7">
        <v>1549</v>
      </c>
      <c r="K93" s="123">
        <f>100/(O93/100)</f>
        <v>43.478260869565219</v>
      </c>
      <c r="L93" s="24">
        <f t="shared" si="8"/>
        <v>1.3043478260869565</v>
      </c>
      <c r="M93" s="124">
        <f t="shared" si="9"/>
        <v>28.695652173913047</v>
      </c>
      <c r="N93" s="24">
        <f t="shared" si="10"/>
        <v>0</v>
      </c>
      <c r="O93" s="21">
        <f t="shared" si="14"/>
        <v>230</v>
      </c>
      <c r="P93" s="32">
        <f>C93/((O93-O101-O102)/100)</f>
        <v>79.310344827586221</v>
      </c>
      <c r="Q93" s="125">
        <f t="shared" si="11"/>
        <v>10.51415366839977</v>
      </c>
      <c r="R93" s="125">
        <f t="shared" si="12"/>
        <v>89.485846331600243</v>
      </c>
      <c r="S93">
        <f t="shared" si="13"/>
        <v>1731</v>
      </c>
      <c r="T93" s="32"/>
      <c r="U93"/>
      <c r="V93"/>
      <c r="W93"/>
      <c r="X93"/>
      <c r="Y93"/>
      <c r="Z93"/>
    </row>
    <row r="94" spans="1:26" x14ac:dyDescent="0.2">
      <c r="A94" s="14" t="s">
        <v>82</v>
      </c>
      <c r="B94" s="9">
        <v>286</v>
      </c>
      <c r="C94" s="9">
        <v>21</v>
      </c>
      <c r="D94" s="31">
        <v>0</v>
      </c>
      <c r="E94" s="9">
        <v>2</v>
      </c>
      <c r="F94" s="31">
        <v>0</v>
      </c>
      <c r="G94" s="10" t="s">
        <v>93</v>
      </c>
      <c r="H94" s="10" t="s">
        <v>93</v>
      </c>
      <c r="I94" s="9">
        <v>16</v>
      </c>
      <c r="J94" s="9">
        <v>247</v>
      </c>
      <c r="K94" s="23">
        <f t="shared" si="15"/>
        <v>91.304347826086953</v>
      </c>
      <c r="L94" s="24">
        <f t="shared" si="8"/>
        <v>0</v>
      </c>
      <c r="M94" s="24">
        <f t="shared" si="9"/>
        <v>8.695652173913043</v>
      </c>
      <c r="N94" s="24">
        <f t="shared" si="10"/>
        <v>0</v>
      </c>
      <c r="O94" s="21">
        <f t="shared" si="14"/>
        <v>23</v>
      </c>
      <c r="P94" s="32"/>
      <c r="Q94" s="34">
        <f t="shared" si="11"/>
        <v>6.0836501901140689</v>
      </c>
      <c r="R94" s="34">
        <f t="shared" si="12"/>
        <v>93.916349809885929</v>
      </c>
      <c r="S94">
        <f t="shared" si="13"/>
        <v>263</v>
      </c>
      <c r="T94" s="32"/>
    </row>
    <row r="95" spans="1:26" x14ac:dyDescent="0.2">
      <c r="A95" s="14" t="s">
        <v>83</v>
      </c>
      <c r="B95" s="9">
        <v>445</v>
      </c>
      <c r="C95" s="9">
        <v>34</v>
      </c>
      <c r="D95" s="31">
        <v>0</v>
      </c>
      <c r="E95" s="9">
        <v>2</v>
      </c>
      <c r="F95" s="31">
        <v>0</v>
      </c>
      <c r="G95" s="10" t="s">
        <v>93</v>
      </c>
      <c r="H95" s="10" t="s">
        <v>93</v>
      </c>
      <c r="I95" s="9">
        <v>48</v>
      </c>
      <c r="J95" s="9">
        <v>361</v>
      </c>
      <c r="K95" s="23">
        <f t="shared" si="15"/>
        <v>94.444444444444443</v>
      </c>
      <c r="L95" s="24">
        <f t="shared" si="8"/>
        <v>0</v>
      </c>
      <c r="M95" s="24">
        <f t="shared" si="9"/>
        <v>5.5555555555555554</v>
      </c>
      <c r="N95" s="24">
        <f t="shared" si="10"/>
        <v>0</v>
      </c>
      <c r="O95" s="21">
        <f t="shared" si="14"/>
        <v>36</v>
      </c>
      <c r="P95" s="32"/>
      <c r="Q95" s="34">
        <f t="shared" si="11"/>
        <v>11.735941320293399</v>
      </c>
      <c r="R95" s="34">
        <f t="shared" si="12"/>
        <v>88.264058679706608</v>
      </c>
      <c r="S95">
        <f t="shared" si="13"/>
        <v>409</v>
      </c>
      <c r="T95" s="32"/>
    </row>
    <row r="96" spans="1:26" x14ac:dyDescent="0.2">
      <c r="A96" s="14" t="s">
        <v>84</v>
      </c>
      <c r="B96" s="9">
        <v>410</v>
      </c>
      <c r="C96" s="9">
        <v>31</v>
      </c>
      <c r="D96" s="31">
        <v>0</v>
      </c>
      <c r="E96" s="9">
        <v>4</v>
      </c>
      <c r="F96" s="31">
        <v>0</v>
      </c>
      <c r="G96" s="10" t="s">
        <v>93</v>
      </c>
      <c r="H96" s="10" t="s">
        <v>93</v>
      </c>
      <c r="I96" s="9">
        <v>42</v>
      </c>
      <c r="J96" s="9">
        <v>333</v>
      </c>
      <c r="K96" s="23">
        <f t="shared" si="15"/>
        <v>88.571428571428584</v>
      </c>
      <c r="L96" s="24">
        <f t="shared" si="8"/>
        <v>0</v>
      </c>
      <c r="M96" s="24">
        <f t="shared" si="9"/>
        <v>11.428571428571429</v>
      </c>
      <c r="N96" s="24">
        <f t="shared" si="10"/>
        <v>0</v>
      </c>
      <c r="O96" s="21">
        <f t="shared" si="14"/>
        <v>35</v>
      </c>
      <c r="P96" s="32"/>
      <c r="Q96" s="34">
        <f t="shared" si="11"/>
        <v>11.2</v>
      </c>
      <c r="R96" s="34">
        <f t="shared" si="12"/>
        <v>88.8</v>
      </c>
      <c r="S96">
        <f t="shared" si="13"/>
        <v>375</v>
      </c>
      <c r="T96" s="32"/>
    </row>
    <row r="97" spans="1:20" x14ac:dyDescent="0.2">
      <c r="A97" s="14" t="s">
        <v>85</v>
      </c>
      <c r="B97" s="9">
        <v>65</v>
      </c>
      <c r="C97" s="9">
        <v>11</v>
      </c>
      <c r="D97" s="31">
        <v>0</v>
      </c>
      <c r="E97" s="9">
        <v>3</v>
      </c>
      <c r="F97" s="31">
        <v>0</v>
      </c>
      <c r="G97" s="10" t="s">
        <v>93</v>
      </c>
      <c r="H97" s="10" t="s">
        <v>93</v>
      </c>
      <c r="I97" s="9">
        <v>4</v>
      </c>
      <c r="J97" s="9">
        <v>47</v>
      </c>
      <c r="K97" s="23">
        <f t="shared" si="15"/>
        <v>78.571428571428569</v>
      </c>
      <c r="L97" s="24">
        <f t="shared" si="8"/>
        <v>0</v>
      </c>
      <c r="M97" s="24">
        <f t="shared" si="9"/>
        <v>21.428571428571427</v>
      </c>
      <c r="N97" s="24">
        <f t="shared" si="10"/>
        <v>0</v>
      </c>
      <c r="O97" s="21">
        <f t="shared" si="14"/>
        <v>14</v>
      </c>
      <c r="P97" s="32"/>
      <c r="Q97" s="34">
        <f t="shared" si="11"/>
        <v>7.8431372549019605</v>
      </c>
      <c r="R97" s="34">
        <f t="shared" si="12"/>
        <v>92.156862745098039</v>
      </c>
      <c r="S97">
        <f t="shared" si="13"/>
        <v>51</v>
      </c>
      <c r="T97" s="32"/>
    </row>
    <row r="98" spans="1:20" x14ac:dyDescent="0.2">
      <c r="A98" s="14" t="s">
        <v>86</v>
      </c>
      <c r="B98" s="9">
        <v>148</v>
      </c>
      <c r="C98" s="9">
        <v>19</v>
      </c>
      <c r="D98" s="9">
        <v>3</v>
      </c>
      <c r="E98" s="9">
        <v>12</v>
      </c>
      <c r="F98" s="31">
        <v>0</v>
      </c>
      <c r="G98" s="10" t="s">
        <v>93</v>
      </c>
      <c r="H98" s="10" t="s">
        <v>93</v>
      </c>
      <c r="I98" s="9">
        <v>22</v>
      </c>
      <c r="J98" s="9">
        <v>92</v>
      </c>
      <c r="K98" s="23">
        <f t="shared" si="15"/>
        <v>55.882352941176464</v>
      </c>
      <c r="L98" s="24">
        <f t="shared" si="8"/>
        <v>8.8235294117647047</v>
      </c>
      <c r="M98" s="24">
        <f t="shared" si="9"/>
        <v>35.294117647058819</v>
      </c>
      <c r="N98" s="24">
        <f t="shared" si="10"/>
        <v>0</v>
      </c>
      <c r="O98" s="21">
        <f t="shared" si="14"/>
        <v>34</v>
      </c>
      <c r="P98" s="32"/>
      <c r="Q98" s="34">
        <f t="shared" si="11"/>
        <v>19.298245614035089</v>
      </c>
      <c r="R98" s="34">
        <f t="shared" si="12"/>
        <v>80.701754385964918</v>
      </c>
      <c r="S98">
        <f t="shared" si="13"/>
        <v>114</v>
      </c>
      <c r="T98" s="32"/>
    </row>
    <row r="99" spans="1:20" x14ac:dyDescent="0.2">
      <c r="A99" s="14" t="s">
        <v>87</v>
      </c>
      <c r="B99" s="9">
        <v>232</v>
      </c>
      <c r="C99" s="9">
        <v>17</v>
      </c>
      <c r="D99" s="31">
        <v>0</v>
      </c>
      <c r="E99" s="9">
        <v>2</v>
      </c>
      <c r="F99" s="31">
        <v>0</v>
      </c>
      <c r="G99" s="10" t="s">
        <v>93</v>
      </c>
      <c r="H99" s="10" t="s">
        <v>93</v>
      </c>
      <c r="I99" s="9">
        <v>22</v>
      </c>
      <c r="J99" s="9">
        <v>191</v>
      </c>
      <c r="K99" s="23">
        <f t="shared" si="15"/>
        <v>89.473684210526315</v>
      </c>
      <c r="L99" s="24">
        <f t="shared" si="8"/>
        <v>0</v>
      </c>
      <c r="M99" s="24">
        <f t="shared" si="9"/>
        <v>10.526315789473685</v>
      </c>
      <c r="N99" s="24">
        <f t="shared" si="10"/>
        <v>0</v>
      </c>
      <c r="O99" s="21">
        <f t="shared" si="14"/>
        <v>19</v>
      </c>
      <c r="P99" s="32"/>
      <c r="Q99" s="34">
        <f t="shared" si="11"/>
        <v>10.328638497652582</v>
      </c>
      <c r="R99" s="34">
        <f t="shared" si="12"/>
        <v>89.671361502347423</v>
      </c>
      <c r="S99">
        <f t="shared" si="13"/>
        <v>213</v>
      </c>
      <c r="T99" s="32"/>
    </row>
    <row r="100" spans="1:20" x14ac:dyDescent="0.2">
      <c r="A100" s="14" t="s">
        <v>88</v>
      </c>
      <c r="B100" s="9">
        <v>285</v>
      </c>
      <c r="C100" s="9">
        <v>20</v>
      </c>
      <c r="D100" s="31">
        <v>0</v>
      </c>
      <c r="E100" s="9">
        <v>9</v>
      </c>
      <c r="F100" s="31">
        <v>0</v>
      </c>
      <c r="G100" s="10" t="s">
        <v>93</v>
      </c>
      <c r="H100" s="10" t="s">
        <v>93</v>
      </c>
      <c r="I100" s="9">
        <v>15</v>
      </c>
      <c r="J100" s="9">
        <v>241</v>
      </c>
      <c r="K100" s="23">
        <f t="shared" si="15"/>
        <v>68.965517241379317</v>
      </c>
      <c r="L100" s="24">
        <f t="shared" si="8"/>
        <v>0</v>
      </c>
      <c r="M100" s="24">
        <f t="shared" si="9"/>
        <v>31.03448275862069</v>
      </c>
      <c r="N100" s="24">
        <f t="shared" si="10"/>
        <v>0</v>
      </c>
      <c r="O100" s="21">
        <f t="shared" si="14"/>
        <v>29</v>
      </c>
      <c r="P100" s="32"/>
      <c r="Q100" s="34">
        <f t="shared" si="11"/>
        <v>5.859375</v>
      </c>
      <c r="R100" s="34">
        <f t="shared" si="12"/>
        <v>94.140625</v>
      </c>
      <c r="S100">
        <f t="shared" si="13"/>
        <v>256</v>
      </c>
      <c r="T100" s="32"/>
    </row>
    <row r="101" spans="1:20" x14ac:dyDescent="0.2">
      <c r="A101" s="14" t="s">
        <v>89</v>
      </c>
      <c r="B101" s="9">
        <v>9</v>
      </c>
      <c r="C101" s="30">
        <v>0</v>
      </c>
      <c r="D101" s="31">
        <v>0</v>
      </c>
      <c r="E101" s="9">
        <v>9</v>
      </c>
      <c r="F101" s="31">
        <v>0</v>
      </c>
      <c r="G101" s="10" t="s">
        <v>93</v>
      </c>
      <c r="H101" s="10" t="s">
        <v>93</v>
      </c>
      <c r="I101" s="29">
        <v>0</v>
      </c>
      <c r="J101" s="29">
        <v>0</v>
      </c>
      <c r="K101" s="23">
        <f>C101/(O101/100)</f>
        <v>0</v>
      </c>
      <c r="L101" s="24">
        <f t="shared" si="8"/>
        <v>0</v>
      </c>
      <c r="M101" s="24">
        <f t="shared" si="9"/>
        <v>100</v>
      </c>
      <c r="N101" s="24">
        <f t="shared" si="10"/>
        <v>0</v>
      </c>
      <c r="O101" s="21">
        <f t="shared" si="14"/>
        <v>9</v>
      </c>
      <c r="P101" s="32"/>
      <c r="Q101" s="34">
        <v>0</v>
      </c>
      <c r="R101" s="34">
        <v>0</v>
      </c>
      <c r="S101">
        <f t="shared" si="13"/>
        <v>0</v>
      </c>
      <c r="T101" s="32"/>
    </row>
    <row r="102" spans="1:20" x14ac:dyDescent="0.2">
      <c r="A102" s="14" t="s">
        <v>90</v>
      </c>
      <c r="B102" s="9">
        <v>18</v>
      </c>
      <c r="C102" s="30">
        <v>0</v>
      </c>
      <c r="D102" s="31">
        <v>0</v>
      </c>
      <c r="E102" s="9">
        <v>18</v>
      </c>
      <c r="F102" s="31">
        <v>0</v>
      </c>
      <c r="G102" s="10" t="s">
        <v>93</v>
      </c>
      <c r="H102" s="10" t="s">
        <v>93</v>
      </c>
      <c r="I102" s="29">
        <v>0</v>
      </c>
      <c r="J102" s="29">
        <v>0</v>
      </c>
      <c r="K102" s="23">
        <f t="shared" si="15"/>
        <v>0</v>
      </c>
      <c r="L102" s="24">
        <f t="shared" si="8"/>
        <v>0</v>
      </c>
      <c r="M102" s="24">
        <f t="shared" si="9"/>
        <v>100</v>
      </c>
      <c r="N102" s="24">
        <f t="shared" si="10"/>
        <v>0</v>
      </c>
      <c r="O102" s="21">
        <f t="shared" si="14"/>
        <v>18</v>
      </c>
      <c r="P102" s="32"/>
      <c r="Q102" s="34">
        <v>0</v>
      </c>
      <c r="R102" s="34">
        <v>0</v>
      </c>
      <c r="S102">
        <f t="shared" si="13"/>
        <v>0</v>
      </c>
      <c r="T102" s="32"/>
    </row>
    <row r="103" spans="1:20" x14ac:dyDescent="0.2">
      <c r="A103" s="14" t="s">
        <v>91</v>
      </c>
      <c r="B103" s="9">
        <v>33</v>
      </c>
      <c r="C103" s="9">
        <v>5</v>
      </c>
      <c r="D103" s="31">
        <v>0</v>
      </c>
      <c r="E103" s="9">
        <v>1</v>
      </c>
      <c r="F103" s="31">
        <v>0</v>
      </c>
      <c r="G103" s="10" t="s">
        <v>93</v>
      </c>
      <c r="H103" s="10" t="s">
        <v>93</v>
      </c>
      <c r="I103" s="9">
        <v>10</v>
      </c>
      <c r="J103" s="9">
        <v>17</v>
      </c>
      <c r="K103" s="23">
        <f t="shared" si="15"/>
        <v>83.333333333333343</v>
      </c>
      <c r="L103" s="24">
        <f t="shared" si="8"/>
        <v>0</v>
      </c>
      <c r="M103" s="24">
        <f t="shared" si="9"/>
        <v>16.666666666666668</v>
      </c>
      <c r="N103" s="24">
        <f t="shared" si="10"/>
        <v>0</v>
      </c>
      <c r="O103" s="21">
        <f t="shared" si="14"/>
        <v>6</v>
      </c>
      <c r="P103" s="32"/>
      <c r="Q103" s="34">
        <f t="shared" si="11"/>
        <v>37.037037037037038</v>
      </c>
      <c r="R103" s="34">
        <f t="shared" si="12"/>
        <v>62.962962962962962</v>
      </c>
      <c r="S103">
        <f t="shared" si="13"/>
        <v>27</v>
      </c>
      <c r="T103" s="32"/>
    </row>
    <row r="104" spans="1:20" x14ac:dyDescent="0.2">
      <c r="A104" s="14" t="s">
        <v>92</v>
      </c>
      <c r="B104" s="9">
        <v>30</v>
      </c>
      <c r="C104" s="9">
        <v>3</v>
      </c>
      <c r="D104" s="31">
        <v>0</v>
      </c>
      <c r="E104" s="9">
        <v>4</v>
      </c>
      <c r="F104" s="31">
        <v>0</v>
      </c>
      <c r="G104" s="10" t="s">
        <v>93</v>
      </c>
      <c r="H104" s="10" t="s">
        <v>93</v>
      </c>
      <c r="I104" s="9">
        <v>3</v>
      </c>
      <c r="J104" s="9">
        <v>20</v>
      </c>
      <c r="K104" s="23">
        <f t="shared" si="15"/>
        <v>42.857142857142854</v>
      </c>
      <c r="L104" s="24">
        <f t="shared" si="8"/>
        <v>0</v>
      </c>
      <c r="M104" s="24">
        <f t="shared" si="9"/>
        <v>57.142857142857139</v>
      </c>
      <c r="N104" s="24">
        <f t="shared" si="10"/>
        <v>0</v>
      </c>
      <c r="O104" s="21">
        <f t="shared" si="14"/>
        <v>7</v>
      </c>
      <c r="P104" s="32"/>
      <c r="Q104" s="34">
        <f t="shared" si="11"/>
        <v>13.043478260869565</v>
      </c>
      <c r="R104" s="34">
        <f t="shared" si="12"/>
        <v>86.956521739130437</v>
      </c>
      <c r="S104">
        <f t="shared" si="13"/>
        <v>23</v>
      </c>
      <c r="T104" s="32"/>
    </row>
    <row r="105" spans="1:20" x14ac:dyDescent="0.2">
      <c r="D105" s="308" t="s">
        <v>126</v>
      </c>
    </row>
    <row r="106" spans="1:20" ht="102" customHeight="1" x14ac:dyDescent="0.2">
      <c r="D106" s="309"/>
      <c r="P106" s="19" t="s">
        <v>148</v>
      </c>
    </row>
    <row r="107" spans="1:20" ht="18.75" x14ac:dyDescent="0.3">
      <c r="A107" s="13" t="s">
        <v>11</v>
      </c>
      <c r="D107" s="41">
        <f>SUM(D108,D127,D141,D150,D158,D173,D182,D193)</f>
        <v>183</v>
      </c>
      <c r="P107">
        <f>(E7-E18-E35-E101-E102)/((O7-O18-O35-O101-O102)/100)</f>
        <v>23.29443447037702</v>
      </c>
    </row>
    <row r="108" spans="1:20" ht="22.5" x14ac:dyDescent="0.2">
      <c r="A108" s="13" t="s">
        <v>13</v>
      </c>
      <c r="D108" s="39">
        <f>SUM(D109,D110,D111,D112,D113,D114,D115,D116,D117,D118,D119,D120,D121,D122,D123,D125,D124)</f>
        <v>19</v>
      </c>
      <c r="P108">
        <f>(E8-E18)/((O8-O18)/100)</f>
        <v>18.243243243243242</v>
      </c>
    </row>
    <row r="109" spans="1:20" x14ac:dyDescent="0.2">
      <c r="A109" s="14" t="s">
        <v>14</v>
      </c>
      <c r="D109" s="30">
        <v>0</v>
      </c>
    </row>
    <row r="110" spans="1:20" x14ac:dyDescent="0.2">
      <c r="A110" s="14" t="s">
        <v>15</v>
      </c>
      <c r="D110" s="36">
        <v>2</v>
      </c>
    </row>
    <row r="111" spans="1:20" x14ac:dyDescent="0.2">
      <c r="A111" s="14" t="s">
        <v>16</v>
      </c>
      <c r="D111" s="29">
        <v>0</v>
      </c>
    </row>
    <row r="112" spans="1:20" x14ac:dyDescent="0.2">
      <c r="A112" s="14" t="s">
        <v>17</v>
      </c>
      <c r="D112" s="29">
        <v>0</v>
      </c>
    </row>
    <row r="113" spans="1:16" x14ac:dyDescent="0.2">
      <c r="A113" s="14" t="s">
        <v>18</v>
      </c>
      <c r="D113" s="29">
        <v>0</v>
      </c>
    </row>
    <row r="114" spans="1:16" x14ac:dyDescent="0.2">
      <c r="A114" s="14" t="s">
        <v>19</v>
      </c>
      <c r="D114" s="29">
        <v>0</v>
      </c>
    </row>
    <row r="115" spans="1:16" x14ac:dyDescent="0.2">
      <c r="A115" s="14" t="s">
        <v>20</v>
      </c>
      <c r="D115" s="36">
        <v>4</v>
      </c>
    </row>
    <row r="116" spans="1:16" x14ac:dyDescent="0.2">
      <c r="A116" s="14" t="s">
        <v>21</v>
      </c>
      <c r="D116" s="29">
        <v>0</v>
      </c>
    </row>
    <row r="117" spans="1:16" x14ac:dyDescent="0.2">
      <c r="A117" s="14" t="s">
        <v>22</v>
      </c>
      <c r="D117" s="29">
        <v>0</v>
      </c>
    </row>
    <row r="118" spans="1:16" x14ac:dyDescent="0.2">
      <c r="A118" s="14" t="s">
        <v>23</v>
      </c>
      <c r="D118" s="29">
        <v>0</v>
      </c>
    </row>
    <row r="119" spans="1:16" x14ac:dyDescent="0.2">
      <c r="A119" s="14" t="s">
        <v>24</v>
      </c>
      <c r="D119" s="29">
        <v>0</v>
      </c>
    </row>
    <row r="120" spans="1:16" x14ac:dyDescent="0.2">
      <c r="A120" s="14" t="s">
        <v>25</v>
      </c>
      <c r="D120" s="29">
        <v>0</v>
      </c>
    </row>
    <row r="121" spans="1:16" x14ac:dyDescent="0.2">
      <c r="A121" s="14" t="s">
        <v>26</v>
      </c>
      <c r="D121" s="29">
        <v>0</v>
      </c>
    </row>
    <row r="122" spans="1:16" x14ac:dyDescent="0.2">
      <c r="A122" s="14" t="s">
        <v>27</v>
      </c>
      <c r="D122" s="29">
        <v>0</v>
      </c>
    </row>
    <row r="123" spans="1:16" x14ac:dyDescent="0.2">
      <c r="A123" s="14" t="s">
        <v>28</v>
      </c>
      <c r="D123" s="38">
        <v>13</v>
      </c>
    </row>
    <row r="124" spans="1:16" x14ac:dyDescent="0.2">
      <c r="A124" s="14" t="s">
        <v>29</v>
      </c>
      <c r="D124" s="30">
        <v>0</v>
      </c>
    </row>
    <row r="125" spans="1:16" x14ac:dyDescent="0.2">
      <c r="A125" s="14" t="s">
        <v>30</v>
      </c>
      <c r="D125" s="29">
        <v>0</v>
      </c>
    </row>
    <row r="126" spans="1:16" x14ac:dyDescent="0.2">
      <c r="A126" s="11" t="s">
        <v>103</v>
      </c>
      <c r="D126" s="10" t="s">
        <v>127</v>
      </c>
    </row>
    <row r="127" spans="1:16" ht="22.5" x14ac:dyDescent="0.2">
      <c r="A127" s="13" t="s">
        <v>31</v>
      </c>
      <c r="D127" s="40">
        <f>SUM(D128,D129,D130,D134,D135,D136,D137,D138,D139)</f>
        <v>27</v>
      </c>
      <c r="P127">
        <f>(E27-E35)/((O27-O35)/100)</f>
        <v>19.209039548022599</v>
      </c>
    </row>
    <row r="128" spans="1:16" x14ac:dyDescent="0.2">
      <c r="A128" s="14" t="s">
        <v>32</v>
      </c>
      <c r="D128" s="31">
        <v>0</v>
      </c>
    </row>
    <row r="129" spans="1:4" x14ac:dyDescent="0.2">
      <c r="A129" s="14" t="s">
        <v>33</v>
      </c>
      <c r="D129" s="31">
        <v>0</v>
      </c>
    </row>
    <row r="130" spans="1:4" x14ac:dyDescent="0.2">
      <c r="A130" s="14" t="s">
        <v>34</v>
      </c>
      <c r="D130" s="36">
        <v>4</v>
      </c>
    </row>
    <row r="131" spans="1:4" x14ac:dyDescent="0.2">
      <c r="A131" s="14" t="s">
        <v>94</v>
      </c>
      <c r="D131" s="10"/>
    </row>
    <row r="132" spans="1:4" x14ac:dyDescent="0.2">
      <c r="A132" s="12" t="s">
        <v>95</v>
      </c>
      <c r="D132" s="31" t="s">
        <v>127</v>
      </c>
    </row>
    <row r="133" spans="1:4" ht="22.5" x14ac:dyDescent="0.2">
      <c r="A133" s="12" t="s">
        <v>106</v>
      </c>
      <c r="D133" s="31" t="s">
        <v>127</v>
      </c>
    </row>
    <row r="134" spans="1:4" x14ac:dyDescent="0.2">
      <c r="A134" s="14" t="s">
        <v>35</v>
      </c>
      <c r="D134" s="31">
        <v>0</v>
      </c>
    </row>
    <row r="135" spans="1:4" x14ac:dyDescent="0.2">
      <c r="A135" s="14" t="s">
        <v>36</v>
      </c>
      <c r="D135" s="36">
        <v>12</v>
      </c>
    </row>
    <row r="136" spans="1:4" x14ac:dyDescent="0.2">
      <c r="A136" s="14" t="s">
        <v>37</v>
      </c>
      <c r="D136" s="31">
        <v>0</v>
      </c>
    </row>
    <row r="137" spans="1:4" x14ac:dyDescent="0.2">
      <c r="A137" s="14" t="s">
        <v>38</v>
      </c>
      <c r="D137" s="36">
        <v>7</v>
      </c>
    </row>
    <row r="138" spans="1:4" x14ac:dyDescent="0.2">
      <c r="A138" s="14" t="s">
        <v>39</v>
      </c>
      <c r="D138" s="36">
        <v>4</v>
      </c>
    </row>
    <row r="139" spans="1:4" x14ac:dyDescent="0.2">
      <c r="A139" s="14" t="s">
        <v>40</v>
      </c>
      <c r="D139" s="31">
        <v>0</v>
      </c>
    </row>
    <row r="140" spans="1:4" x14ac:dyDescent="0.2">
      <c r="A140" s="11" t="s">
        <v>104</v>
      </c>
      <c r="D140" s="10" t="s">
        <v>127</v>
      </c>
    </row>
    <row r="141" spans="1:4" x14ac:dyDescent="0.2">
      <c r="A141" s="17" t="s">
        <v>107</v>
      </c>
      <c r="D141" s="40">
        <f>SUM(D142:D148)</f>
        <v>0</v>
      </c>
    </row>
    <row r="142" spans="1:4" x14ac:dyDescent="0.2">
      <c r="A142" s="11" t="s">
        <v>96</v>
      </c>
      <c r="D142" s="31">
        <v>0</v>
      </c>
    </row>
    <row r="143" spans="1:4" x14ac:dyDescent="0.2">
      <c r="A143" s="11" t="s">
        <v>41</v>
      </c>
      <c r="D143" s="31">
        <v>0</v>
      </c>
    </row>
    <row r="144" spans="1:4" x14ac:dyDescent="0.2">
      <c r="A144" s="11" t="s">
        <v>42</v>
      </c>
      <c r="D144" s="31">
        <v>0</v>
      </c>
    </row>
    <row r="145" spans="1:4" x14ac:dyDescent="0.2">
      <c r="A145" s="11" t="s">
        <v>43</v>
      </c>
      <c r="D145" s="31">
        <v>0</v>
      </c>
    </row>
    <row r="146" spans="1:4" x14ac:dyDescent="0.2">
      <c r="A146" s="11" t="s">
        <v>44</v>
      </c>
      <c r="D146" s="31">
        <v>0</v>
      </c>
    </row>
    <row r="147" spans="1:4" x14ac:dyDescent="0.2">
      <c r="A147" s="11" t="s">
        <v>45</v>
      </c>
      <c r="D147" s="31">
        <v>0</v>
      </c>
    </row>
    <row r="148" spans="1:4" x14ac:dyDescent="0.2">
      <c r="A148" s="11" t="s">
        <v>46</v>
      </c>
      <c r="D148" s="31">
        <v>0</v>
      </c>
    </row>
    <row r="149" spans="1:4" x14ac:dyDescent="0.2">
      <c r="A149" s="11" t="s">
        <v>105</v>
      </c>
      <c r="D149" s="10" t="s">
        <v>93</v>
      </c>
    </row>
    <row r="150" spans="1:4" ht="22.5" x14ac:dyDescent="0.2">
      <c r="A150" s="13" t="s">
        <v>47</v>
      </c>
      <c r="D150" s="40">
        <f>SUM(D151,D152,D153,D154,D155,D156,D157)</f>
        <v>16</v>
      </c>
    </row>
    <row r="151" spans="1:4" x14ac:dyDescent="0.2">
      <c r="A151" s="14" t="s">
        <v>48</v>
      </c>
      <c r="D151" s="31">
        <v>0</v>
      </c>
    </row>
    <row r="152" spans="1:4" x14ac:dyDescent="0.2">
      <c r="A152" s="14" t="s">
        <v>97</v>
      </c>
      <c r="D152" s="31">
        <v>0</v>
      </c>
    </row>
    <row r="153" spans="1:4" ht="22.5" x14ac:dyDescent="0.2">
      <c r="A153" s="14" t="s">
        <v>49</v>
      </c>
      <c r="D153" s="31">
        <v>0</v>
      </c>
    </row>
    <row r="154" spans="1:4" ht="22.5" x14ac:dyDescent="0.2">
      <c r="A154" s="14" t="s">
        <v>50</v>
      </c>
      <c r="D154" s="31">
        <v>0</v>
      </c>
    </row>
    <row r="155" spans="1:4" ht="22.5" x14ac:dyDescent="0.2">
      <c r="A155" s="14" t="s">
        <v>51</v>
      </c>
      <c r="D155" s="31">
        <v>0</v>
      </c>
    </row>
    <row r="156" spans="1:4" x14ac:dyDescent="0.2">
      <c r="A156" s="14" t="s">
        <v>98</v>
      </c>
      <c r="D156" s="31">
        <v>0</v>
      </c>
    </row>
    <row r="157" spans="1:4" x14ac:dyDescent="0.2">
      <c r="A157" s="14" t="s">
        <v>52</v>
      </c>
      <c r="D157" s="36">
        <v>16</v>
      </c>
    </row>
    <row r="158" spans="1:4" ht="22.5" x14ac:dyDescent="0.2">
      <c r="A158" s="13" t="s">
        <v>53</v>
      </c>
      <c r="D158" s="39">
        <f>SUM(D159,D160,D161,D162,D163,D164,D165,D166,D167,D168,D169,D170,D171,D172)</f>
        <v>70</v>
      </c>
    </row>
    <row r="159" spans="1:4" x14ac:dyDescent="0.2">
      <c r="A159" s="14" t="s">
        <v>54</v>
      </c>
      <c r="D159" s="31">
        <v>0</v>
      </c>
    </row>
    <row r="160" spans="1:4" x14ac:dyDescent="0.2">
      <c r="A160" s="14" t="s">
        <v>55</v>
      </c>
      <c r="D160" s="31">
        <v>0</v>
      </c>
    </row>
    <row r="161" spans="1:4" x14ac:dyDescent="0.2">
      <c r="A161" s="14" t="s">
        <v>56</v>
      </c>
      <c r="D161" s="31">
        <v>0</v>
      </c>
    </row>
    <row r="162" spans="1:4" x14ac:dyDescent="0.2">
      <c r="A162" s="11" t="s">
        <v>100</v>
      </c>
      <c r="D162" s="31">
        <v>0</v>
      </c>
    </row>
    <row r="163" spans="1:4" x14ac:dyDescent="0.2">
      <c r="A163" s="14" t="s">
        <v>57</v>
      </c>
      <c r="D163" s="36">
        <v>24</v>
      </c>
    </row>
    <row r="164" spans="1:4" x14ac:dyDescent="0.2">
      <c r="A164" s="11" t="s">
        <v>99</v>
      </c>
      <c r="D164" s="36">
        <v>2</v>
      </c>
    </row>
    <row r="165" spans="1:4" x14ac:dyDescent="0.2">
      <c r="A165" s="14" t="s">
        <v>58</v>
      </c>
      <c r="D165" s="38">
        <v>19</v>
      </c>
    </row>
    <row r="166" spans="1:4" x14ac:dyDescent="0.2">
      <c r="A166" s="14" t="s">
        <v>59</v>
      </c>
      <c r="D166" s="36">
        <v>14</v>
      </c>
    </row>
    <row r="167" spans="1:4" x14ac:dyDescent="0.2">
      <c r="A167" s="14" t="s">
        <v>60</v>
      </c>
      <c r="D167" s="36">
        <v>11</v>
      </c>
    </row>
    <row r="168" spans="1:4" x14ac:dyDescent="0.2">
      <c r="A168" s="14" t="s">
        <v>61</v>
      </c>
      <c r="D168" s="31">
        <v>0</v>
      </c>
    </row>
    <row r="169" spans="1:4" x14ac:dyDescent="0.2">
      <c r="A169" s="14" t="s">
        <v>62</v>
      </c>
      <c r="D169" s="31">
        <v>0</v>
      </c>
    </row>
    <row r="170" spans="1:4" x14ac:dyDescent="0.2">
      <c r="A170" s="14" t="s">
        <v>63</v>
      </c>
      <c r="D170" s="31">
        <v>0</v>
      </c>
    </row>
    <row r="171" spans="1:4" x14ac:dyDescent="0.2">
      <c r="A171" s="14" t="s">
        <v>64</v>
      </c>
      <c r="D171" s="31">
        <v>0</v>
      </c>
    </row>
    <row r="172" spans="1:4" x14ac:dyDescent="0.2">
      <c r="A172" s="14" t="s">
        <v>65</v>
      </c>
      <c r="D172" s="31">
        <v>0</v>
      </c>
    </row>
    <row r="173" spans="1:4" ht="22.5" x14ac:dyDescent="0.2">
      <c r="A173" s="16" t="s">
        <v>66</v>
      </c>
      <c r="D173" s="40">
        <f>SUM(D174,D175,D176,D181)</f>
        <v>14</v>
      </c>
    </row>
    <row r="174" spans="1:4" x14ac:dyDescent="0.2">
      <c r="A174" s="14" t="s">
        <v>67</v>
      </c>
      <c r="D174" s="36">
        <v>8</v>
      </c>
    </row>
    <row r="175" spans="1:4" x14ac:dyDescent="0.2">
      <c r="A175" s="15" t="s">
        <v>68</v>
      </c>
      <c r="D175" s="31">
        <v>0</v>
      </c>
    </row>
    <row r="176" spans="1:4" x14ac:dyDescent="0.2">
      <c r="A176" s="14" t="s">
        <v>69</v>
      </c>
      <c r="D176" s="36">
        <v>6</v>
      </c>
    </row>
    <row r="177" spans="1:4" x14ac:dyDescent="0.2">
      <c r="A177" s="11" t="s">
        <v>108</v>
      </c>
      <c r="D177" s="10"/>
    </row>
    <row r="178" spans="1:4" ht="22.5" x14ac:dyDescent="0.2">
      <c r="A178" s="12" t="s">
        <v>109</v>
      </c>
      <c r="D178" s="31">
        <v>0</v>
      </c>
    </row>
    <row r="179" spans="1:4" ht="22.5" x14ac:dyDescent="0.2">
      <c r="A179" s="12" t="s">
        <v>110</v>
      </c>
      <c r="D179" s="36">
        <v>6</v>
      </c>
    </row>
    <row r="180" spans="1:4" ht="22.5" x14ac:dyDescent="0.2">
      <c r="A180" s="12" t="s">
        <v>111</v>
      </c>
      <c r="D180" s="31">
        <v>0</v>
      </c>
    </row>
    <row r="181" spans="1:4" x14ac:dyDescent="0.2">
      <c r="A181" s="14" t="s">
        <v>70</v>
      </c>
      <c r="D181" s="31">
        <v>0</v>
      </c>
    </row>
    <row r="182" spans="1:4" ht="22.5" x14ac:dyDescent="0.2">
      <c r="A182" s="13" t="s">
        <v>71</v>
      </c>
      <c r="D182" s="39">
        <f>SUM(D183,D184,D185,D186,D187,D188,D189,D190,D191,D192)</f>
        <v>20</v>
      </c>
    </row>
    <row r="183" spans="1:4" x14ac:dyDescent="0.2">
      <c r="A183" s="14" t="s">
        <v>72</v>
      </c>
      <c r="D183" s="31">
        <v>0</v>
      </c>
    </row>
    <row r="184" spans="1:4" x14ac:dyDescent="0.2">
      <c r="A184" s="14" t="s">
        <v>73</v>
      </c>
      <c r="D184" s="31">
        <v>0</v>
      </c>
    </row>
    <row r="185" spans="1:4" x14ac:dyDescent="0.2">
      <c r="A185" s="14" t="s">
        <v>74</v>
      </c>
      <c r="D185" s="31">
        <v>0</v>
      </c>
    </row>
    <row r="186" spans="1:4" x14ac:dyDescent="0.2">
      <c r="A186" s="14" t="s">
        <v>75</v>
      </c>
      <c r="D186" s="36">
        <v>1</v>
      </c>
    </row>
    <row r="187" spans="1:4" x14ac:dyDescent="0.2">
      <c r="A187" s="14" t="s">
        <v>76</v>
      </c>
      <c r="D187" s="36">
        <v>3</v>
      </c>
    </row>
    <row r="188" spans="1:4" x14ac:dyDescent="0.2">
      <c r="A188" s="14" t="s">
        <v>77</v>
      </c>
      <c r="D188" s="31">
        <v>0</v>
      </c>
    </row>
    <row r="189" spans="1:4" x14ac:dyDescent="0.2">
      <c r="A189" s="11" t="s">
        <v>101</v>
      </c>
      <c r="D189" s="38">
        <v>16</v>
      </c>
    </row>
    <row r="190" spans="1:4" x14ac:dyDescent="0.2">
      <c r="A190" s="14" t="s">
        <v>78</v>
      </c>
      <c r="D190" s="31">
        <v>0</v>
      </c>
    </row>
    <row r="191" spans="1:4" x14ac:dyDescent="0.2">
      <c r="A191" s="14" t="s">
        <v>79</v>
      </c>
      <c r="D191" s="31">
        <v>0</v>
      </c>
    </row>
    <row r="192" spans="1:4" x14ac:dyDescent="0.2">
      <c r="A192" s="14" t="s">
        <v>80</v>
      </c>
      <c r="D192" s="31">
        <v>0</v>
      </c>
    </row>
    <row r="193" spans="1:16" ht="22.5" x14ac:dyDescent="0.2">
      <c r="A193" s="13" t="s">
        <v>81</v>
      </c>
      <c r="D193" s="39">
        <f>SUM(D194,D195,D196,D197,D198,D199,D200,D201,D202,D203,D204)</f>
        <v>17</v>
      </c>
      <c r="P193">
        <f>(E93-E101-E102)/((O93-O101-O102)/100)</f>
        <v>19.211822660098523</v>
      </c>
    </row>
    <row r="194" spans="1:16" x14ac:dyDescent="0.2">
      <c r="A194" s="14" t="s">
        <v>82</v>
      </c>
      <c r="D194" s="31">
        <v>0</v>
      </c>
    </row>
    <row r="195" spans="1:16" x14ac:dyDescent="0.2">
      <c r="A195" s="14" t="s">
        <v>83</v>
      </c>
      <c r="D195" s="31">
        <v>0</v>
      </c>
    </row>
    <row r="196" spans="1:16" x14ac:dyDescent="0.2">
      <c r="A196" s="14" t="s">
        <v>84</v>
      </c>
      <c r="D196" s="36">
        <v>2</v>
      </c>
    </row>
    <row r="197" spans="1:16" x14ac:dyDescent="0.2">
      <c r="A197" s="14" t="s">
        <v>85</v>
      </c>
      <c r="D197" s="36">
        <v>1</v>
      </c>
    </row>
    <row r="198" spans="1:16" x14ac:dyDescent="0.2">
      <c r="A198" s="14" t="s">
        <v>86</v>
      </c>
      <c r="D198" s="37">
        <v>8</v>
      </c>
    </row>
    <row r="199" spans="1:16" x14ac:dyDescent="0.2">
      <c r="A199" s="14" t="s">
        <v>87</v>
      </c>
      <c r="D199" s="31">
        <v>0</v>
      </c>
    </row>
    <row r="200" spans="1:16" x14ac:dyDescent="0.2">
      <c r="A200" s="14" t="s">
        <v>88</v>
      </c>
      <c r="D200" s="36">
        <v>6</v>
      </c>
    </row>
    <row r="201" spans="1:16" x14ac:dyDescent="0.2">
      <c r="A201" s="14" t="s">
        <v>89</v>
      </c>
      <c r="D201" s="31">
        <v>0</v>
      </c>
    </row>
    <row r="202" spans="1:16" x14ac:dyDescent="0.2">
      <c r="A202" s="14" t="s">
        <v>90</v>
      </c>
      <c r="D202" s="31">
        <v>0</v>
      </c>
    </row>
    <row r="203" spans="1:16" x14ac:dyDescent="0.2">
      <c r="A203" s="14" t="s">
        <v>91</v>
      </c>
      <c r="D203" s="31">
        <v>0</v>
      </c>
    </row>
    <row r="204" spans="1:16" x14ac:dyDescent="0.2">
      <c r="A204" s="14" t="s">
        <v>92</v>
      </c>
      <c r="D204" s="31">
        <v>0</v>
      </c>
    </row>
  </sheetData>
  <mergeCells count="14">
    <mergeCell ref="A1:J1"/>
    <mergeCell ref="Q4:R4"/>
    <mergeCell ref="Q3:S3"/>
    <mergeCell ref="Q1:S1"/>
    <mergeCell ref="Q6:R6"/>
    <mergeCell ref="K6:N6"/>
    <mergeCell ref="K1:O1"/>
    <mergeCell ref="K3:O3"/>
    <mergeCell ref="K4:N4"/>
    <mergeCell ref="D105:D106"/>
    <mergeCell ref="B3:J3"/>
    <mergeCell ref="B4:B5"/>
    <mergeCell ref="C4:J4"/>
    <mergeCell ref="A3:A5"/>
  </mergeCells>
  <pageMargins left="0.75" right="0.75" top="1" bottom="1" header="0.5" footer="0.5"/>
  <pageSetup scale="70" orientation="portrait" r:id="rId1"/>
  <rowBreaks count="1" manualBreakCount="1">
    <brk id="4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1"/>
  <sheetViews>
    <sheetView topLeftCell="L1" zoomScale="85" zoomScaleNormal="85" workbookViewId="0">
      <selection activeCell="AC14" sqref="AC14"/>
    </sheetView>
  </sheetViews>
  <sheetFormatPr defaultRowHeight="12.75" x14ac:dyDescent="0.2"/>
  <cols>
    <col min="1" max="1" width="13.85546875" customWidth="1"/>
    <col min="10" max="10" width="17" customWidth="1"/>
    <col min="11" max="11" width="12" customWidth="1"/>
    <col min="12" max="12" width="19.85546875" customWidth="1"/>
    <col min="13" max="13" width="16.5703125" customWidth="1"/>
    <col min="15" max="15" width="12.28515625" customWidth="1"/>
    <col min="16" max="16" width="10.85546875" customWidth="1"/>
    <col min="17" max="17" width="30.140625" customWidth="1"/>
    <col min="18" max="18" width="22.140625" customWidth="1"/>
    <col min="20" max="20" width="24" customWidth="1"/>
    <col min="21" max="21" width="13.140625" customWidth="1"/>
    <col min="22" max="22" width="23.42578125" customWidth="1"/>
    <col min="23" max="23" width="15.140625" customWidth="1"/>
    <col min="24" max="24" width="26.28515625" customWidth="1"/>
    <col min="25" max="25" width="14.28515625" customWidth="1"/>
    <col min="26" max="26" width="23.5703125" customWidth="1"/>
    <col min="27" max="27" width="16.7109375" customWidth="1"/>
  </cols>
  <sheetData>
    <row r="1" spans="1:33" x14ac:dyDescent="0.2">
      <c r="A1" s="359" t="s">
        <v>177</v>
      </c>
      <c r="B1" s="359"/>
      <c r="C1" s="359"/>
      <c r="D1" s="359"/>
      <c r="E1" s="359"/>
      <c r="F1" s="359"/>
      <c r="G1" s="359"/>
      <c r="H1" s="359"/>
    </row>
    <row r="2" spans="1:33" x14ac:dyDescent="0.2">
      <c r="A2" s="161"/>
      <c r="B2" s="162"/>
      <c r="C2" s="162"/>
      <c r="D2" s="162"/>
      <c r="E2" s="162"/>
      <c r="F2" s="162"/>
      <c r="G2" s="162"/>
      <c r="H2" s="163"/>
    </row>
    <row r="3" spans="1:33" x14ac:dyDescent="0.2">
      <c r="A3" s="161"/>
      <c r="B3" s="162"/>
      <c r="C3" s="162"/>
      <c r="D3" s="162"/>
      <c r="E3" s="162"/>
      <c r="F3" s="162"/>
      <c r="G3" s="162"/>
      <c r="H3" s="163"/>
    </row>
    <row r="4" spans="1:33" ht="13.5" thickBot="1" x14ac:dyDescent="0.25">
      <c r="A4" s="161"/>
      <c r="B4" s="162"/>
      <c r="C4" s="162"/>
      <c r="D4" s="162"/>
      <c r="E4" s="162"/>
      <c r="F4" s="162"/>
      <c r="G4" s="162"/>
      <c r="H4" s="163" t="s">
        <v>178</v>
      </c>
    </row>
    <row r="5" spans="1:33" ht="12.75" customHeight="1" x14ac:dyDescent="0.2">
      <c r="A5" s="360"/>
      <c r="B5" s="349" t="s">
        <v>203</v>
      </c>
      <c r="C5" s="361"/>
      <c r="D5" s="361"/>
      <c r="E5" s="361"/>
      <c r="F5" s="361"/>
      <c r="G5" s="361"/>
      <c r="H5" s="350"/>
      <c r="I5" s="326" t="s">
        <v>204</v>
      </c>
      <c r="J5" s="352"/>
      <c r="K5" s="352"/>
      <c r="L5" s="352"/>
      <c r="M5" s="352"/>
      <c r="N5" s="352"/>
      <c r="O5" s="352"/>
      <c r="P5" s="352"/>
      <c r="Q5" s="353" t="s">
        <v>236</v>
      </c>
      <c r="R5" s="354"/>
      <c r="S5" s="354"/>
      <c r="T5" s="354"/>
      <c r="U5" s="354"/>
      <c r="V5" s="354"/>
      <c r="W5" s="354"/>
      <c r="X5" s="354"/>
      <c r="Y5" s="354"/>
      <c r="Z5" s="354"/>
      <c r="AA5" s="355"/>
    </row>
    <row r="6" spans="1:33" ht="12.75" customHeight="1" thickBot="1" x14ac:dyDescent="0.25">
      <c r="A6" s="360"/>
      <c r="B6" s="362" t="s">
        <v>179</v>
      </c>
      <c r="C6" s="349" t="s">
        <v>180</v>
      </c>
      <c r="D6" s="361"/>
      <c r="E6" s="361"/>
      <c r="F6" s="361"/>
      <c r="G6" s="361"/>
      <c r="H6" s="350"/>
      <c r="I6" s="317" t="s">
        <v>179</v>
      </c>
      <c r="J6" s="317" t="s">
        <v>180</v>
      </c>
      <c r="K6" s="317"/>
      <c r="L6" s="317"/>
      <c r="M6" s="317"/>
      <c r="N6" s="317"/>
      <c r="O6" s="317"/>
      <c r="P6" s="317"/>
      <c r="Q6" s="356"/>
      <c r="R6" s="357"/>
      <c r="S6" s="357"/>
      <c r="T6" s="357"/>
      <c r="U6" s="357"/>
      <c r="V6" s="357"/>
      <c r="W6" s="357"/>
      <c r="X6" s="357"/>
      <c r="Y6" s="357"/>
      <c r="Z6" s="357"/>
      <c r="AA6" s="358"/>
    </row>
    <row r="7" spans="1:33" ht="12.75" customHeight="1" x14ac:dyDescent="0.2">
      <c r="A7" s="360"/>
      <c r="B7" s="363"/>
      <c r="C7" s="365" t="s">
        <v>181</v>
      </c>
      <c r="D7" s="365" t="s">
        <v>182</v>
      </c>
      <c r="E7" s="365" t="s">
        <v>183</v>
      </c>
      <c r="F7" s="349" t="s">
        <v>184</v>
      </c>
      <c r="G7" s="361"/>
      <c r="H7" s="350"/>
      <c r="I7" s="317"/>
      <c r="J7" s="351" t="s">
        <v>205</v>
      </c>
      <c r="K7" s="351" t="s">
        <v>4</v>
      </c>
      <c r="L7" s="351" t="s">
        <v>5</v>
      </c>
      <c r="M7" s="351" t="s">
        <v>6</v>
      </c>
      <c r="N7" s="317" t="s">
        <v>206</v>
      </c>
      <c r="O7" s="317"/>
      <c r="P7" s="317"/>
      <c r="Q7" s="331"/>
      <c r="R7" s="327" t="s">
        <v>218</v>
      </c>
      <c r="S7" s="329" t="s">
        <v>217</v>
      </c>
      <c r="T7" s="333" t="s">
        <v>219</v>
      </c>
      <c r="U7" s="335" t="s">
        <v>221</v>
      </c>
      <c r="V7" s="337" t="s">
        <v>222</v>
      </c>
      <c r="W7" s="339" t="s">
        <v>224</v>
      </c>
      <c r="X7" s="341" t="s">
        <v>228</v>
      </c>
      <c r="Y7" s="343" t="s">
        <v>229</v>
      </c>
      <c r="Z7" s="345" t="s">
        <v>231</v>
      </c>
      <c r="AA7" s="347" t="s">
        <v>230</v>
      </c>
      <c r="AB7" s="183"/>
      <c r="AC7" s="180"/>
      <c r="AD7" s="180"/>
      <c r="AE7" s="180"/>
      <c r="AF7" s="180"/>
      <c r="AG7" s="180"/>
    </row>
    <row r="8" spans="1:33" ht="12.75" customHeight="1" x14ac:dyDescent="0.2">
      <c r="A8" s="360"/>
      <c r="B8" s="363"/>
      <c r="C8" s="366"/>
      <c r="D8" s="366"/>
      <c r="E8" s="366"/>
      <c r="F8" s="362" t="s">
        <v>179</v>
      </c>
      <c r="G8" s="349" t="s">
        <v>185</v>
      </c>
      <c r="H8" s="350"/>
      <c r="I8" s="317"/>
      <c r="J8" s="351"/>
      <c r="K8" s="351"/>
      <c r="L8" s="351"/>
      <c r="M8" s="351"/>
      <c r="N8" s="317" t="s">
        <v>1</v>
      </c>
      <c r="O8" s="317" t="s">
        <v>207</v>
      </c>
      <c r="P8" s="317" t="s">
        <v>208</v>
      </c>
      <c r="Q8" s="332"/>
      <c r="R8" s="328"/>
      <c r="S8" s="330"/>
      <c r="T8" s="334"/>
      <c r="U8" s="336"/>
      <c r="V8" s="338"/>
      <c r="W8" s="340"/>
      <c r="X8" s="342"/>
      <c r="Y8" s="344"/>
      <c r="Z8" s="346"/>
      <c r="AA8" s="348"/>
      <c r="AB8" s="183"/>
      <c r="AC8" s="180"/>
      <c r="AD8" s="180"/>
      <c r="AE8" s="180"/>
      <c r="AF8" s="180"/>
      <c r="AG8" s="180"/>
    </row>
    <row r="9" spans="1:33" ht="43.5" customHeight="1" x14ac:dyDescent="0.2">
      <c r="A9" s="360"/>
      <c r="B9" s="364"/>
      <c r="C9" s="367"/>
      <c r="D9" s="367"/>
      <c r="E9" s="367"/>
      <c r="F9" s="364"/>
      <c r="G9" s="164" t="s">
        <v>186</v>
      </c>
      <c r="H9" s="164" t="s">
        <v>187</v>
      </c>
      <c r="I9" s="317"/>
      <c r="J9" s="351"/>
      <c r="K9" s="351"/>
      <c r="L9" s="351"/>
      <c r="M9" s="351"/>
      <c r="N9" s="317"/>
      <c r="O9" s="317"/>
      <c r="P9" s="317"/>
      <c r="Q9" s="332"/>
      <c r="R9" s="328"/>
      <c r="S9" s="330"/>
      <c r="T9" s="334"/>
      <c r="U9" s="336"/>
      <c r="V9" s="338"/>
      <c r="W9" s="340"/>
      <c r="X9" s="342"/>
      <c r="Y9" s="344"/>
      <c r="Z9" s="346"/>
      <c r="AA9" s="348"/>
      <c r="AB9" s="183"/>
      <c r="AC9" s="180"/>
      <c r="AD9" s="180"/>
      <c r="AE9" s="180"/>
      <c r="AF9" s="180"/>
      <c r="AG9" s="180"/>
    </row>
    <row r="10" spans="1:33" ht="23.25" thickBot="1" x14ac:dyDescent="0.25">
      <c r="A10" s="165" t="s">
        <v>188</v>
      </c>
      <c r="B10" s="166">
        <v>23907</v>
      </c>
      <c r="C10" s="166">
        <v>1829</v>
      </c>
      <c r="D10" s="166">
        <v>512</v>
      </c>
      <c r="E10" s="166">
        <v>236</v>
      </c>
      <c r="F10" s="166">
        <v>21330</v>
      </c>
      <c r="G10" s="166">
        <v>1739</v>
      </c>
      <c r="H10" s="166">
        <v>19591</v>
      </c>
      <c r="I10" s="7">
        <v>20846</v>
      </c>
      <c r="J10" s="7">
        <v>1673</v>
      </c>
      <c r="K10" s="7">
        <v>33</v>
      </c>
      <c r="L10" s="7">
        <v>632</v>
      </c>
      <c r="M10" s="7">
        <v>3</v>
      </c>
      <c r="N10">
        <f>O10+P10</f>
        <v>18219</v>
      </c>
      <c r="O10" s="7">
        <v>1398</v>
      </c>
      <c r="P10" s="175">
        <v>16821</v>
      </c>
      <c r="Q10" s="216" t="s">
        <v>11</v>
      </c>
      <c r="R10" s="217">
        <f>I10/(B10/100)</f>
        <v>87.196218680721131</v>
      </c>
      <c r="S10" s="218">
        <f>R10-100</f>
        <v>-12.803781319278869</v>
      </c>
      <c r="T10" s="219">
        <f>J10/(C10/100)</f>
        <v>91.47074904319301</v>
      </c>
      <c r="U10" s="220">
        <f>T10-100</f>
        <v>-8.5292509568069903</v>
      </c>
      <c r="V10" s="221">
        <f>L10/(D10/100)</f>
        <v>123.4375</v>
      </c>
      <c r="W10" s="222">
        <f>V10-100</f>
        <v>23.4375</v>
      </c>
      <c r="X10" s="219">
        <f>O10/(G10/100)</f>
        <v>80.391029327199533</v>
      </c>
      <c r="Y10" s="220">
        <f>X10-100</f>
        <v>-19.608970672800467</v>
      </c>
      <c r="Z10" s="221">
        <f>P10/(H10/100)</f>
        <v>85.860854473993157</v>
      </c>
      <c r="AA10" s="218">
        <f>Z10-100</f>
        <v>-14.139145526006843</v>
      </c>
      <c r="AB10" s="184"/>
      <c r="AC10" s="181"/>
      <c r="AD10" s="180"/>
      <c r="AE10" s="180"/>
      <c r="AF10" s="180"/>
      <c r="AG10" s="180"/>
    </row>
    <row r="11" spans="1:33" ht="35.25" thickTop="1" x14ac:dyDescent="0.25">
      <c r="A11" s="167" t="s">
        <v>189</v>
      </c>
      <c r="B11" s="168">
        <v>5353</v>
      </c>
      <c r="C11" s="168">
        <v>416</v>
      </c>
      <c r="D11" s="168">
        <v>107</v>
      </c>
      <c r="E11" s="168">
        <v>125</v>
      </c>
      <c r="F11" s="168">
        <v>4705</v>
      </c>
      <c r="G11" s="168">
        <v>502</v>
      </c>
      <c r="H11" s="168">
        <v>4203</v>
      </c>
      <c r="I11" s="7">
        <v>4017</v>
      </c>
      <c r="J11" s="7">
        <v>359</v>
      </c>
      <c r="K11" s="7">
        <v>4</v>
      </c>
      <c r="L11" s="7">
        <v>145</v>
      </c>
      <c r="M11" s="31">
        <v>0</v>
      </c>
      <c r="N11" s="173">
        <f t="shared" ref="N11:N74" si="0">O11+P11</f>
        <v>3363</v>
      </c>
      <c r="O11" s="7">
        <v>346</v>
      </c>
      <c r="P11" s="175">
        <v>3017</v>
      </c>
      <c r="Q11" s="210" t="s">
        <v>213</v>
      </c>
      <c r="R11" s="211">
        <f t="shared" ref="R11:R74" si="1">I11/(B11/100)</f>
        <v>75.0420325051373</v>
      </c>
      <c r="S11" s="212">
        <f t="shared" ref="S11:S74" si="2">R11-100</f>
        <v>-24.9579674948627</v>
      </c>
      <c r="T11" s="213">
        <f t="shared" ref="T11:T74" si="3">J11/(C11/100)</f>
        <v>86.29807692307692</v>
      </c>
      <c r="U11" s="214">
        <f t="shared" ref="U11:U74" si="4">T11-100</f>
        <v>-13.70192307692308</v>
      </c>
      <c r="V11" s="211">
        <f>L11/(D11/100)</f>
        <v>135.51401869158877</v>
      </c>
      <c r="W11" s="215">
        <f t="shared" ref="W11:W74" si="5">V11-100</f>
        <v>35.514018691588774</v>
      </c>
      <c r="X11" s="213">
        <f t="shared" ref="X11:X74" si="6">O11/(G11/100)</f>
        <v>68.924302788844628</v>
      </c>
      <c r="Y11" s="214">
        <f t="shared" ref="Y11:Y74" si="7">X11-100</f>
        <v>-31.075697211155372</v>
      </c>
      <c r="Z11" s="211">
        <f t="shared" ref="Z11:Z74" si="8">P11/(H11/100)</f>
        <v>71.782060433024029</v>
      </c>
      <c r="AA11" s="212">
        <f t="shared" ref="AA11:AA74" si="9">Z11-100</f>
        <v>-28.217939566975971</v>
      </c>
      <c r="AB11" s="184"/>
      <c r="AC11" s="181"/>
      <c r="AD11" s="180"/>
      <c r="AE11" s="180"/>
      <c r="AF11" s="180"/>
      <c r="AG11" s="180"/>
    </row>
    <row r="12" spans="1:33" ht="22.5" x14ac:dyDescent="0.2">
      <c r="A12" s="169" t="s">
        <v>14</v>
      </c>
      <c r="B12" s="163">
        <v>307</v>
      </c>
      <c r="C12" s="163">
        <v>19</v>
      </c>
      <c r="D12" s="163">
        <v>3</v>
      </c>
      <c r="E12" s="163">
        <v>0</v>
      </c>
      <c r="F12" s="163">
        <v>285</v>
      </c>
      <c r="G12" s="163">
        <v>25</v>
      </c>
      <c r="H12" s="163">
        <v>260</v>
      </c>
      <c r="I12" s="9">
        <v>212</v>
      </c>
      <c r="J12" s="9">
        <v>13</v>
      </c>
      <c r="K12" s="30">
        <v>0</v>
      </c>
      <c r="L12" s="9">
        <v>9</v>
      </c>
      <c r="M12" s="31">
        <v>0</v>
      </c>
      <c r="N12" s="173">
        <f t="shared" si="0"/>
        <v>190</v>
      </c>
      <c r="O12" s="9">
        <v>16</v>
      </c>
      <c r="P12" s="176">
        <v>174</v>
      </c>
      <c r="Q12" s="190" t="s">
        <v>14</v>
      </c>
      <c r="R12" s="195">
        <f t="shared" si="1"/>
        <v>69.055374592833886</v>
      </c>
      <c r="S12" s="196">
        <f t="shared" si="2"/>
        <v>-30.944625407166114</v>
      </c>
      <c r="T12" s="192">
        <f t="shared" si="3"/>
        <v>68.421052631578945</v>
      </c>
      <c r="U12" s="201">
        <f t="shared" si="4"/>
        <v>-31.578947368421055</v>
      </c>
      <c r="V12" s="195">
        <f t="shared" ref="V12:V75" si="10">L12/(D12/100)</f>
        <v>300</v>
      </c>
      <c r="W12" s="198">
        <f t="shared" si="5"/>
        <v>200</v>
      </c>
      <c r="X12" s="192">
        <f t="shared" si="6"/>
        <v>64</v>
      </c>
      <c r="Y12" s="201">
        <f t="shared" si="7"/>
        <v>-36</v>
      </c>
      <c r="Z12" s="208">
        <f t="shared" si="8"/>
        <v>66.92307692307692</v>
      </c>
      <c r="AA12" s="185">
        <f t="shared" si="9"/>
        <v>-33.07692307692308</v>
      </c>
      <c r="AB12" s="184"/>
      <c r="AC12" s="181"/>
      <c r="AD12" s="180"/>
      <c r="AE12" s="180"/>
      <c r="AF12" s="180"/>
      <c r="AG12" s="180"/>
    </row>
    <row r="13" spans="1:33" ht="22.5" x14ac:dyDescent="0.2">
      <c r="A13" s="169" t="s">
        <v>15</v>
      </c>
      <c r="B13" s="163">
        <v>289</v>
      </c>
      <c r="C13" s="163">
        <v>27</v>
      </c>
      <c r="D13" s="163">
        <v>6</v>
      </c>
      <c r="E13" s="163">
        <v>0</v>
      </c>
      <c r="F13" s="163">
        <v>256</v>
      </c>
      <c r="G13" s="163">
        <v>31</v>
      </c>
      <c r="H13" s="163">
        <v>225</v>
      </c>
      <c r="I13" s="9">
        <v>252</v>
      </c>
      <c r="J13" s="9">
        <v>26</v>
      </c>
      <c r="K13" s="29">
        <v>0</v>
      </c>
      <c r="L13" s="9">
        <v>6</v>
      </c>
      <c r="M13" s="31">
        <v>0</v>
      </c>
      <c r="N13" s="173">
        <f t="shared" si="0"/>
        <v>220</v>
      </c>
      <c r="O13" s="9">
        <v>30</v>
      </c>
      <c r="P13" s="176">
        <v>190</v>
      </c>
      <c r="Q13" s="190" t="s">
        <v>15</v>
      </c>
      <c r="R13" s="195">
        <f t="shared" si="1"/>
        <v>87.197231833910024</v>
      </c>
      <c r="S13" s="196">
        <f t="shared" si="2"/>
        <v>-12.802768166089976</v>
      </c>
      <c r="T13" s="192">
        <f t="shared" si="3"/>
        <v>96.296296296296291</v>
      </c>
      <c r="U13" s="201">
        <f t="shared" si="4"/>
        <v>-3.7037037037037095</v>
      </c>
      <c r="V13" s="195">
        <f t="shared" si="10"/>
        <v>100</v>
      </c>
      <c r="W13" s="197">
        <f t="shared" si="5"/>
        <v>0</v>
      </c>
      <c r="X13" s="192">
        <f t="shared" si="6"/>
        <v>96.774193548387103</v>
      </c>
      <c r="Y13" s="201">
        <f t="shared" si="7"/>
        <v>-3.2258064516128968</v>
      </c>
      <c r="Z13" s="208">
        <f t="shared" si="8"/>
        <v>84.444444444444443</v>
      </c>
      <c r="AA13" s="185">
        <f t="shared" si="9"/>
        <v>-15.555555555555557</v>
      </c>
      <c r="AB13" s="184"/>
      <c r="AC13" s="181"/>
      <c r="AD13" s="180"/>
      <c r="AE13" s="180"/>
      <c r="AF13" s="180"/>
      <c r="AG13" s="180"/>
    </row>
    <row r="14" spans="1:33" ht="22.5" x14ac:dyDescent="0.2">
      <c r="A14" s="169" t="s">
        <v>16</v>
      </c>
      <c r="B14" s="163">
        <v>127</v>
      </c>
      <c r="C14" s="163">
        <v>16</v>
      </c>
      <c r="D14" s="163">
        <v>5</v>
      </c>
      <c r="E14" s="163">
        <v>0</v>
      </c>
      <c r="F14" s="163">
        <v>106</v>
      </c>
      <c r="G14" s="163">
        <v>26</v>
      </c>
      <c r="H14" s="163">
        <v>80</v>
      </c>
      <c r="I14" s="9">
        <v>127</v>
      </c>
      <c r="J14" s="9">
        <v>16</v>
      </c>
      <c r="K14" s="29">
        <v>0</v>
      </c>
      <c r="L14" s="9">
        <v>5</v>
      </c>
      <c r="M14" s="31">
        <v>0</v>
      </c>
      <c r="N14" s="173">
        <f t="shared" si="0"/>
        <v>106</v>
      </c>
      <c r="O14" s="9">
        <v>26</v>
      </c>
      <c r="P14" s="176">
        <v>80</v>
      </c>
      <c r="Q14" s="190" t="s">
        <v>16</v>
      </c>
      <c r="R14" s="195">
        <f t="shared" si="1"/>
        <v>100</v>
      </c>
      <c r="S14" s="197">
        <f t="shared" si="2"/>
        <v>0</v>
      </c>
      <c r="T14" s="192">
        <f t="shared" si="3"/>
        <v>100</v>
      </c>
      <c r="U14" s="202">
        <f t="shared" si="4"/>
        <v>0</v>
      </c>
      <c r="V14" s="195">
        <f t="shared" si="10"/>
        <v>100</v>
      </c>
      <c r="W14" s="197">
        <f t="shared" si="5"/>
        <v>0</v>
      </c>
      <c r="X14" s="192">
        <f t="shared" si="6"/>
        <v>100</v>
      </c>
      <c r="Y14" s="205">
        <f t="shared" si="7"/>
        <v>0</v>
      </c>
      <c r="Z14" s="208">
        <f t="shared" si="8"/>
        <v>100</v>
      </c>
      <c r="AA14" s="186">
        <f t="shared" si="9"/>
        <v>0</v>
      </c>
      <c r="AB14" s="184"/>
      <c r="AC14" s="181"/>
      <c r="AD14" s="180"/>
      <c r="AE14" s="180"/>
      <c r="AF14" s="180"/>
      <c r="AG14" s="180"/>
    </row>
    <row r="15" spans="1:33" ht="22.5" x14ac:dyDescent="0.2">
      <c r="A15" s="169" t="s">
        <v>17</v>
      </c>
      <c r="B15" s="163">
        <v>526</v>
      </c>
      <c r="C15" s="163">
        <v>31</v>
      </c>
      <c r="D15" s="163">
        <v>3</v>
      </c>
      <c r="E15" s="163">
        <v>0</v>
      </c>
      <c r="F15" s="163">
        <v>492</v>
      </c>
      <c r="G15" s="163">
        <v>29</v>
      </c>
      <c r="H15" s="163">
        <v>463</v>
      </c>
      <c r="I15" s="9">
        <v>478</v>
      </c>
      <c r="J15" s="9">
        <v>31</v>
      </c>
      <c r="K15" s="29">
        <v>0</v>
      </c>
      <c r="L15" s="9">
        <v>3</v>
      </c>
      <c r="M15" s="31">
        <v>0</v>
      </c>
      <c r="N15" s="173">
        <f t="shared" si="0"/>
        <v>444</v>
      </c>
      <c r="O15" s="9">
        <v>28</v>
      </c>
      <c r="P15" s="176">
        <v>416</v>
      </c>
      <c r="Q15" s="190" t="s">
        <v>17</v>
      </c>
      <c r="R15" s="195">
        <f t="shared" si="1"/>
        <v>90.874524714828894</v>
      </c>
      <c r="S15" s="196">
        <f t="shared" si="2"/>
        <v>-9.1254752851711061</v>
      </c>
      <c r="T15" s="192">
        <f t="shared" si="3"/>
        <v>100</v>
      </c>
      <c r="U15" s="202">
        <f t="shared" si="4"/>
        <v>0</v>
      </c>
      <c r="V15" s="195">
        <f t="shared" si="10"/>
        <v>100</v>
      </c>
      <c r="W15" s="197">
        <f t="shared" si="5"/>
        <v>0</v>
      </c>
      <c r="X15" s="192">
        <f t="shared" si="6"/>
        <v>96.551724137931046</v>
      </c>
      <c r="Y15" s="201">
        <f t="shared" si="7"/>
        <v>-3.4482758620689538</v>
      </c>
      <c r="Z15" s="208">
        <f t="shared" si="8"/>
        <v>89.8488120950324</v>
      </c>
      <c r="AA15" s="185">
        <f t="shared" si="9"/>
        <v>-10.1511879049676</v>
      </c>
      <c r="AB15" s="184"/>
      <c r="AC15" s="181"/>
      <c r="AD15" s="180"/>
      <c r="AE15" s="180"/>
      <c r="AF15" s="180"/>
      <c r="AG15" s="180"/>
    </row>
    <row r="16" spans="1:33" ht="22.5" x14ac:dyDescent="0.2">
      <c r="A16" s="169" t="s">
        <v>18</v>
      </c>
      <c r="B16" s="163">
        <v>156</v>
      </c>
      <c r="C16" s="163">
        <v>21</v>
      </c>
      <c r="D16" s="163">
        <v>6</v>
      </c>
      <c r="E16" s="163">
        <v>0</v>
      </c>
      <c r="F16" s="163">
        <v>129</v>
      </c>
      <c r="G16" s="163">
        <v>24</v>
      </c>
      <c r="H16" s="163">
        <v>105</v>
      </c>
      <c r="I16" s="9">
        <v>143</v>
      </c>
      <c r="J16" s="9">
        <v>21</v>
      </c>
      <c r="K16" s="29">
        <v>0</v>
      </c>
      <c r="L16" s="9">
        <v>6</v>
      </c>
      <c r="M16" s="31">
        <v>0</v>
      </c>
      <c r="N16" s="173">
        <f t="shared" si="0"/>
        <v>116</v>
      </c>
      <c r="O16" s="9">
        <v>24</v>
      </c>
      <c r="P16" s="176">
        <v>92</v>
      </c>
      <c r="Q16" s="190" t="s">
        <v>18</v>
      </c>
      <c r="R16" s="195">
        <f t="shared" si="1"/>
        <v>91.666666666666657</v>
      </c>
      <c r="S16" s="196">
        <f t="shared" si="2"/>
        <v>-8.3333333333333428</v>
      </c>
      <c r="T16" s="192">
        <f t="shared" si="3"/>
        <v>100</v>
      </c>
      <c r="U16" s="202">
        <f t="shared" si="4"/>
        <v>0</v>
      </c>
      <c r="V16" s="195">
        <f t="shared" si="10"/>
        <v>100</v>
      </c>
      <c r="W16" s="197">
        <f t="shared" si="5"/>
        <v>0</v>
      </c>
      <c r="X16" s="192">
        <f t="shared" si="6"/>
        <v>100</v>
      </c>
      <c r="Y16" s="205">
        <f t="shared" si="7"/>
        <v>0</v>
      </c>
      <c r="Z16" s="208">
        <f t="shared" si="8"/>
        <v>87.61904761904762</v>
      </c>
      <c r="AA16" s="185">
        <f t="shared" si="9"/>
        <v>-12.38095238095238</v>
      </c>
      <c r="AB16" s="184"/>
      <c r="AC16" s="181"/>
      <c r="AD16" s="180"/>
      <c r="AE16" s="180"/>
      <c r="AF16" s="180"/>
      <c r="AG16" s="180"/>
    </row>
    <row r="17" spans="1:33" ht="22.5" x14ac:dyDescent="0.2">
      <c r="A17" s="169" t="s">
        <v>19</v>
      </c>
      <c r="B17" s="163">
        <v>317</v>
      </c>
      <c r="C17" s="163">
        <v>24</v>
      </c>
      <c r="D17" s="163">
        <v>2</v>
      </c>
      <c r="E17" s="163">
        <v>0</v>
      </c>
      <c r="F17" s="163">
        <v>291</v>
      </c>
      <c r="G17" s="163">
        <v>29</v>
      </c>
      <c r="H17" s="163">
        <v>262</v>
      </c>
      <c r="I17" s="9">
        <v>304</v>
      </c>
      <c r="J17" s="9">
        <v>24</v>
      </c>
      <c r="K17" s="29">
        <v>0</v>
      </c>
      <c r="L17" s="9">
        <v>2</v>
      </c>
      <c r="M17" s="31">
        <v>0</v>
      </c>
      <c r="N17" s="173">
        <f t="shared" si="0"/>
        <v>278</v>
      </c>
      <c r="O17" s="9">
        <v>26</v>
      </c>
      <c r="P17" s="176">
        <v>252</v>
      </c>
      <c r="Q17" s="190" t="s">
        <v>19</v>
      </c>
      <c r="R17" s="195">
        <f t="shared" si="1"/>
        <v>95.899053627760253</v>
      </c>
      <c r="S17" s="196">
        <f t="shared" si="2"/>
        <v>-4.100946372239747</v>
      </c>
      <c r="T17" s="192">
        <f t="shared" si="3"/>
        <v>100</v>
      </c>
      <c r="U17" s="202">
        <f t="shared" si="4"/>
        <v>0</v>
      </c>
      <c r="V17" s="195">
        <f t="shared" si="10"/>
        <v>100</v>
      </c>
      <c r="W17" s="197">
        <f t="shared" si="5"/>
        <v>0</v>
      </c>
      <c r="X17" s="192">
        <f t="shared" si="6"/>
        <v>89.65517241379311</v>
      </c>
      <c r="Y17" s="201">
        <f t="shared" si="7"/>
        <v>-10.34482758620689</v>
      </c>
      <c r="Z17" s="208">
        <f t="shared" si="8"/>
        <v>96.18320610687023</v>
      </c>
      <c r="AA17" s="185">
        <f t="shared" si="9"/>
        <v>-3.8167938931297698</v>
      </c>
      <c r="AB17" s="184"/>
      <c r="AC17" s="181"/>
      <c r="AD17" s="180"/>
      <c r="AE17" s="180"/>
      <c r="AF17" s="180"/>
      <c r="AG17" s="180"/>
    </row>
    <row r="18" spans="1:33" ht="22.5" x14ac:dyDescent="0.2">
      <c r="A18" s="169" t="s">
        <v>20</v>
      </c>
      <c r="B18" s="163">
        <v>303</v>
      </c>
      <c r="C18" s="163">
        <v>24</v>
      </c>
      <c r="D18" s="163">
        <v>6</v>
      </c>
      <c r="E18" s="163">
        <v>0</v>
      </c>
      <c r="F18" s="163">
        <v>273</v>
      </c>
      <c r="G18" s="163">
        <v>12</v>
      </c>
      <c r="H18" s="163">
        <v>261</v>
      </c>
      <c r="I18" s="9">
        <v>157</v>
      </c>
      <c r="J18" s="9">
        <v>23</v>
      </c>
      <c r="K18" s="29">
        <v>0</v>
      </c>
      <c r="L18" s="9">
        <v>6</v>
      </c>
      <c r="M18" s="31">
        <v>0</v>
      </c>
      <c r="N18" s="173">
        <f t="shared" si="0"/>
        <v>128</v>
      </c>
      <c r="O18" s="9">
        <v>12</v>
      </c>
      <c r="P18" s="176">
        <v>116</v>
      </c>
      <c r="Q18" s="190" t="s">
        <v>20</v>
      </c>
      <c r="R18" s="195">
        <f t="shared" si="1"/>
        <v>51.815181518151817</v>
      </c>
      <c r="S18" s="196">
        <f t="shared" si="2"/>
        <v>-48.184818481848183</v>
      </c>
      <c r="T18" s="192">
        <f t="shared" si="3"/>
        <v>95.833333333333343</v>
      </c>
      <c r="U18" s="201">
        <f t="shared" si="4"/>
        <v>-4.1666666666666572</v>
      </c>
      <c r="V18" s="195">
        <f t="shared" si="10"/>
        <v>100</v>
      </c>
      <c r="W18" s="197">
        <f t="shared" si="5"/>
        <v>0</v>
      </c>
      <c r="X18" s="192">
        <f t="shared" si="6"/>
        <v>100</v>
      </c>
      <c r="Y18" s="205">
        <f t="shared" si="7"/>
        <v>0</v>
      </c>
      <c r="Z18" s="208">
        <f t="shared" si="8"/>
        <v>44.44444444444445</v>
      </c>
      <c r="AA18" s="185">
        <f t="shared" si="9"/>
        <v>-55.55555555555555</v>
      </c>
      <c r="AB18" s="184"/>
      <c r="AC18" s="181"/>
      <c r="AD18" s="180"/>
      <c r="AE18" s="180"/>
      <c r="AF18" s="180"/>
      <c r="AG18" s="180"/>
    </row>
    <row r="19" spans="1:33" ht="25.5" customHeight="1" x14ac:dyDescent="0.2">
      <c r="A19" s="169" t="s">
        <v>21</v>
      </c>
      <c r="B19" s="163">
        <v>540</v>
      </c>
      <c r="C19" s="163">
        <v>28</v>
      </c>
      <c r="D19" s="163">
        <v>5</v>
      </c>
      <c r="E19" s="163">
        <v>0</v>
      </c>
      <c r="F19" s="163">
        <v>507</v>
      </c>
      <c r="G19" s="163">
        <v>27</v>
      </c>
      <c r="H19" s="163">
        <v>480</v>
      </c>
      <c r="I19" s="9">
        <v>347</v>
      </c>
      <c r="J19" s="9">
        <v>28</v>
      </c>
      <c r="K19" s="29">
        <v>0</v>
      </c>
      <c r="L19" s="9">
        <v>5</v>
      </c>
      <c r="M19" s="31">
        <v>0</v>
      </c>
      <c r="N19" s="173">
        <f t="shared" si="0"/>
        <v>314</v>
      </c>
      <c r="O19" s="9">
        <v>27</v>
      </c>
      <c r="P19" s="176">
        <v>287</v>
      </c>
      <c r="Q19" s="190" t="s">
        <v>21</v>
      </c>
      <c r="R19" s="195">
        <f t="shared" si="1"/>
        <v>64.259259259259252</v>
      </c>
      <c r="S19" s="196">
        <f t="shared" si="2"/>
        <v>-35.740740740740748</v>
      </c>
      <c r="T19" s="192">
        <f t="shared" si="3"/>
        <v>99.999999999999986</v>
      </c>
      <c r="U19" s="202">
        <f t="shared" si="4"/>
        <v>0</v>
      </c>
      <c r="V19" s="195">
        <f t="shared" si="10"/>
        <v>100</v>
      </c>
      <c r="W19" s="197">
        <f t="shared" si="5"/>
        <v>0</v>
      </c>
      <c r="X19" s="192">
        <f t="shared" si="6"/>
        <v>100</v>
      </c>
      <c r="Y19" s="205">
        <f t="shared" si="7"/>
        <v>0</v>
      </c>
      <c r="Z19" s="208">
        <f t="shared" si="8"/>
        <v>59.791666666666671</v>
      </c>
      <c r="AA19" s="185">
        <f t="shared" si="9"/>
        <v>-40.208333333333329</v>
      </c>
      <c r="AB19" s="184"/>
      <c r="AC19" s="181"/>
      <c r="AD19" s="180"/>
      <c r="AE19" s="180"/>
      <c r="AF19" s="180"/>
      <c r="AG19" s="180"/>
    </row>
    <row r="20" spans="1:33" ht="22.5" x14ac:dyDescent="0.2">
      <c r="A20" s="169" t="s">
        <v>22</v>
      </c>
      <c r="B20" s="163">
        <v>325</v>
      </c>
      <c r="C20" s="163">
        <v>18</v>
      </c>
      <c r="D20" s="163">
        <v>2</v>
      </c>
      <c r="E20" s="163">
        <v>0</v>
      </c>
      <c r="F20" s="163">
        <v>305</v>
      </c>
      <c r="G20" s="163">
        <v>6</v>
      </c>
      <c r="H20" s="163">
        <v>299</v>
      </c>
      <c r="I20" s="9">
        <v>312</v>
      </c>
      <c r="J20" s="9">
        <v>18</v>
      </c>
      <c r="K20" s="29">
        <v>0</v>
      </c>
      <c r="L20" s="9">
        <v>2</v>
      </c>
      <c r="M20" s="31">
        <v>0</v>
      </c>
      <c r="N20" s="173">
        <f t="shared" si="0"/>
        <v>292</v>
      </c>
      <c r="O20" s="9">
        <v>6</v>
      </c>
      <c r="P20" s="176">
        <v>286</v>
      </c>
      <c r="Q20" s="190" t="s">
        <v>22</v>
      </c>
      <c r="R20" s="195">
        <f t="shared" si="1"/>
        <v>96</v>
      </c>
      <c r="S20" s="196">
        <f t="shared" si="2"/>
        <v>-4</v>
      </c>
      <c r="T20" s="192">
        <f t="shared" si="3"/>
        <v>100</v>
      </c>
      <c r="U20" s="202">
        <f t="shared" si="4"/>
        <v>0</v>
      </c>
      <c r="V20" s="195">
        <f t="shared" si="10"/>
        <v>100</v>
      </c>
      <c r="W20" s="197">
        <f t="shared" si="5"/>
        <v>0</v>
      </c>
      <c r="X20" s="192">
        <f t="shared" si="6"/>
        <v>100</v>
      </c>
      <c r="Y20" s="205">
        <f t="shared" si="7"/>
        <v>0</v>
      </c>
      <c r="Z20" s="208">
        <f t="shared" si="8"/>
        <v>95.65217391304347</v>
      </c>
      <c r="AA20" s="185">
        <f t="shared" si="9"/>
        <v>-4.3478260869565304</v>
      </c>
      <c r="AB20" s="184"/>
      <c r="AC20" s="181"/>
      <c r="AD20" s="180"/>
      <c r="AE20" s="180"/>
      <c r="AF20" s="180"/>
      <c r="AG20" s="180"/>
    </row>
    <row r="21" spans="1:33" ht="22.5" x14ac:dyDescent="0.2">
      <c r="A21" s="169" t="s">
        <v>23</v>
      </c>
      <c r="B21" s="163">
        <v>381</v>
      </c>
      <c r="C21" s="163">
        <v>36</v>
      </c>
      <c r="D21" s="163">
        <v>38</v>
      </c>
      <c r="E21" s="163">
        <v>0</v>
      </c>
      <c r="F21" s="163">
        <v>307</v>
      </c>
      <c r="G21" s="163">
        <v>114</v>
      </c>
      <c r="H21" s="163">
        <v>193</v>
      </c>
      <c r="I21" s="9">
        <v>64</v>
      </c>
      <c r="J21" s="30">
        <v>0</v>
      </c>
      <c r="K21" s="29">
        <v>0</v>
      </c>
      <c r="L21" s="9">
        <v>64</v>
      </c>
      <c r="M21" s="31">
        <v>0</v>
      </c>
      <c r="N21" s="173">
        <f t="shared" si="0"/>
        <v>0</v>
      </c>
      <c r="O21" s="29">
        <v>0</v>
      </c>
      <c r="P21" s="177">
        <v>0</v>
      </c>
      <c r="Q21" s="190" t="s">
        <v>23</v>
      </c>
      <c r="R21" s="195">
        <f t="shared" si="1"/>
        <v>16.797900262467191</v>
      </c>
      <c r="S21" s="196">
        <f t="shared" si="2"/>
        <v>-83.202099737532805</v>
      </c>
      <c r="T21" s="192">
        <f t="shared" si="3"/>
        <v>0</v>
      </c>
      <c r="U21" s="201">
        <f t="shared" si="4"/>
        <v>-100</v>
      </c>
      <c r="V21" s="195">
        <f t="shared" si="10"/>
        <v>168.42105263157896</v>
      </c>
      <c r="W21" s="198">
        <f t="shared" si="5"/>
        <v>68.421052631578959</v>
      </c>
      <c r="X21" s="192">
        <f t="shared" si="6"/>
        <v>0</v>
      </c>
      <c r="Y21" s="201">
        <f t="shared" si="7"/>
        <v>-100</v>
      </c>
      <c r="Z21" s="208">
        <f t="shared" si="8"/>
        <v>0</v>
      </c>
      <c r="AA21" s="185">
        <f t="shared" si="9"/>
        <v>-100</v>
      </c>
      <c r="AB21" s="184"/>
      <c r="AC21" s="181"/>
      <c r="AD21" s="180"/>
      <c r="AE21" s="180"/>
      <c r="AF21" s="180"/>
      <c r="AG21" s="180"/>
    </row>
    <row r="22" spans="1:33" ht="22.5" x14ac:dyDescent="0.2">
      <c r="A22" s="169" t="s">
        <v>24</v>
      </c>
      <c r="B22" s="163">
        <v>267</v>
      </c>
      <c r="C22" s="163">
        <v>24</v>
      </c>
      <c r="D22" s="163">
        <v>3</v>
      </c>
      <c r="E22" s="163">
        <v>0</v>
      </c>
      <c r="F22" s="163">
        <v>240</v>
      </c>
      <c r="G22" s="163">
        <v>17</v>
      </c>
      <c r="H22" s="163">
        <v>223</v>
      </c>
      <c r="I22" s="9">
        <v>267</v>
      </c>
      <c r="J22" s="9">
        <v>24</v>
      </c>
      <c r="K22" s="29">
        <v>0</v>
      </c>
      <c r="L22" s="9">
        <v>3</v>
      </c>
      <c r="M22" s="31">
        <v>0</v>
      </c>
      <c r="N22" s="173">
        <f t="shared" si="0"/>
        <v>240</v>
      </c>
      <c r="O22" s="9">
        <v>17</v>
      </c>
      <c r="P22" s="176">
        <v>223</v>
      </c>
      <c r="Q22" s="190" t="s">
        <v>24</v>
      </c>
      <c r="R22" s="195">
        <f t="shared" si="1"/>
        <v>100</v>
      </c>
      <c r="S22" s="197">
        <f t="shared" si="2"/>
        <v>0</v>
      </c>
      <c r="T22" s="192">
        <f t="shared" si="3"/>
        <v>100</v>
      </c>
      <c r="U22" s="202">
        <f t="shared" si="4"/>
        <v>0</v>
      </c>
      <c r="V22" s="195">
        <f t="shared" si="10"/>
        <v>100</v>
      </c>
      <c r="W22" s="197">
        <f t="shared" si="5"/>
        <v>0</v>
      </c>
      <c r="X22" s="192">
        <f t="shared" si="6"/>
        <v>99.999999999999986</v>
      </c>
      <c r="Y22" s="205">
        <f t="shared" si="7"/>
        <v>0</v>
      </c>
      <c r="Z22" s="208">
        <f t="shared" si="8"/>
        <v>100</v>
      </c>
      <c r="AA22" s="186">
        <f t="shared" si="9"/>
        <v>0</v>
      </c>
      <c r="AB22" s="184"/>
      <c r="AC22" s="181"/>
      <c r="AD22" s="180"/>
      <c r="AE22" s="180"/>
      <c r="AF22" s="180"/>
      <c r="AG22" s="180"/>
    </row>
    <row r="23" spans="1:33" ht="22.5" x14ac:dyDescent="0.2">
      <c r="A23" s="169" t="s">
        <v>25</v>
      </c>
      <c r="B23" s="163">
        <v>315</v>
      </c>
      <c r="C23" s="163">
        <v>25</v>
      </c>
      <c r="D23" s="163">
        <v>4</v>
      </c>
      <c r="E23" s="163">
        <v>0</v>
      </c>
      <c r="F23" s="163">
        <v>286</v>
      </c>
      <c r="G23" s="163">
        <v>30</v>
      </c>
      <c r="H23" s="163">
        <v>256</v>
      </c>
      <c r="I23" s="9">
        <v>290</v>
      </c>
      <c r="J23" s="9">
        <v>25</v>
      </c>
      <c r="K23" s="29">
        <v>0</v>
      </c>
      <c r="L23" s="9">
        <v>4</v>
      </c>
      <c r="M23" s="31">
        <v>0</v>
      </c>
      <c r="N23" s="173">
        <f t="shared" si="0"/>
        <v>261</v>
      </c>
      <c r="O23" s="9">
        <v>29</v>
      </c>
      <c r="P23" s="176">
        <v>232</v>
      </c>
      <c r="Q23" s="190" t="s">
        <v>25</v>
      </c>
      <c r="R23" s="195">
        <f t="shared" si="1"/>
        <v>92.063492063492063</v>
      </c>
      <c r="S23" s="196">
        <f t="shared" si="2"/>
        <v>-7.9365079365079367</v>
      </c>
      <c r="T23" s="192">
        <f t="shared" si="3"/>
        <v>100</v>
      </c>
      <c r="U23" s="202">
        <f t="shared" si="4"/>
        <v>0</v>
      </c>
      <c r="V23" s="195">
        <f t="shared" si="10"/>
        <v>100</v>
      </c>
      <c r="W23" s="197">
        <f t="shared" si="5"/>
        <v>0</v>
      </c>
      <c r="X23" s="192">
        <f t="shared" si="6"/>
        <v>96.666666666666671</v>
      </c>
      <c r="Y23" s="201">
        <f t="shared" si="7"/>
        <v>-3.3333333333333286</v>
      </c>
      <c r="Z23" s="208">
        <f t="shared" si="8"/>
        <v>90.625</v>
      </c>
      <c r="AA23" s="185">
        <f t="shared" si="9"/>
        <v>-9.375</v>
      </c>
      <c r="AB23" s="184"/>
      <c r="AC23" s="181"/>
      <c r="AD23" s="180"/>
      <c r="AE23" s="180"/>
      <c r="AF23" s="180"/>
      <c r="AG23" s="180"/>
    </row>
    <row r="24" spans="1:33" ht="22.5" x14ac:dyDescent="0.2">
      <c r="A24" s="169" t="s">
        <v>26</v>
      </c>
      <c r="B24" s="163">
        <v>350</v>
      </c>
      <c r="C24" s="163">
        <v>25</v>
      </c>
      <c r="D24" s="163">
        <v>2</v>
      </c>
      <c r="E24" s="163">
        <v>0</v>
      </c>
      <c r="F24" s="163">
        <v>323</v>
      </c>
      <c r="G24" s="163">
        <v>25</v>
      </c>
      <c r="H24" s="163">
        <v>298</v>
      </c>
      <c r="I24" s="9">
        <v>183</v>
      </c>
      <c r="J24" s="9">
        <v>25</v>
      </c>
      <c r="K24" s="29">
        <v>0</v>
      </c>
      <c r="L24" s="9">
        <v>2</v>
      </c>
      <c r="M24" s="31">
        <v>0</v>
      </c>
      <c r="N24" s="173">
        <f t="shared" si="0"/>
        <v>156</v>
      </c>
      <c r="O24" s="9">
        <v>23</v>
      </c>
      <c r="P24" s="176">
        <v>133</v>
      </c>
      <c r="Q24" s="190" t="s">
        <v>26</v>
      </c>
      <c r="R24" s="195">
        <f t="shared" si="1"/>
        <v>52.285714285714285</v>
      </c>
      <c r="S24" s="196">
        <f t="shared" si="2"/>
        <v>-47.714285714285715</v>
      </c>
      <c r="T24" s="192">
        <f t="shared" si="3"/>
        <v>100</v>
      </c>
      <c r="U24" s="202">
        <f t="shared" si="4"/>
        <v>0</v>
      </c>
      <c r="V24" s="195">
        <f t="shared" si="10"/>
        <v>100</v>
      </c>
      <c r="W24" s="197">
        <f t="shared" si="5"/>
        <v>0</v>
      </c>
      <c r="X24" s="192">
        <f t="shared" si="6"/>
        <v>92</v>
      </c>
      <c r="Y24" s="201">
        <f t="shared" si="7"/>
        <v>-8</v>
      </c>
      <c r="Z24" s="208">
        <f t="shared" si="8"/>
        <v>44.630872483221474</v>
      </c>
      <c r="AA24" s="185">
        <f t="shared" si="9"/>
        <v>-55.369127516778526</v>
      </c>
      <c r="AB24" s="184"/>
      <c r="AC24" s="181"/>
      <c r="AD24" s="180"/>
      <c r="AE24" s="180"/>
      <c r="AF24" s="180"/>
      <c r="AG24" s="180"/>
    </row>
    <row r="25" spans="1:33" ht="22.5" x14ac:dyDescent="0.2">
      <c r="A25" s="169" t="s">
        <v>27</v>
      </c>
      <c r="B25" s="163">
        <v>345</v>
      </c>
      <c r="C25" s="163">
        <v>23</v>
      </c>
      <c r="D25" s="163">
        <v>7</v>
      </c>
      <c r="E25" s="163">
        <v>0</v>
      </c>
      <c r="F25" s="163">
        <v>315</v>
      </c>
      <c r="G25" s="163">
        <v>13</v>
      </c>
      <c r="H25" s="163">
        <v>302</v>
      </c>
      <c r="I25" s="9">
        <v>274</v>
      </c>
      <c r="J25" s="9">
        <v>23</v>
      </c>
      <c r="K25" s="29">
        <v>0</v>
      </c>
      <c r="L25" s="9">
        <v>7</v>
      </c>
      <c r="M25" s="31">
        <v>0</v>
      </c>
      <c r="N25" s="173">
        <f t="shared" si="0"/>
        <v>244</v>
      </c>
      <c r="O25" s="9">
        <v>13</v>
      </c>
      <c r="P25" s="176">
        <v>231</v>
      </c>
      <c r="Q25" s="190" t="s">
        <v>27</v>
      </c>
      <c r="R25" s="195">
        <f t="shared" si="1"/>
        <v>79.420289855072454</v>
      </c>
      <c r="S25" s="196">
        <f t="shared" si="2"/>
        <v>-20.579710144927546</v>
      </c>
      <c r="T25" s="192">
        <f t="shared" si="3"/>
        <v>100</v>
      </c>
      <c r="U25" s="202">
        <f t="shared" si="4"/>
        <v>0</v>
      </c>
      <c r="V25" s="195">
        <f t="shared" si="10"/>
        <v>99.999999999999986</v>
      </c>
      <c r="W25" s="197">
        <f t="shared" si="5"/>
        <v>0</v>
      </c>
      <c r="X25" s="192">
        <f t="shared" si="6"/>
        <v>100</v>
      </c>
      <c r="Y25" s="205">
        <f t="shared" si="7"/>
        <v>0</v>
      </c>
      <c r="Z25" s="208">
        <f t="shared" si="8"/>
        <v>76.490066225165563</v>
      </c>
      <c r="AA25" s="185">
        <f t="shared" si="9"/>
        <v>-23.509933774834437</v>
      </c>
      <c r="AB25" s="184"/>
      <c r="AC25" s="181"/>
      <c r="AD25" s="180"/>
      <c r="AE25" s="180"/>
      <c r="AF25" s="180"/>
      <c r="AG25" s="180"/>
    </row>
    <row r="26" spans="1:33" ht="22.5" x14ac:dyDescent="0.2">
      <c r="A26" s="169" t="s">
        <v>28</v>
      </c>
      <c r="B26" s="163">
        <v>405</v>
      </c>
      <c r="C26" s="163">
        <v>36</v>
      </c>
      <c r="D26" s="163">
        <v>7</v>
      </c>
      <c r="E26" s="163">
        <v>0</v>
      </c>
      <c r="F26" s="163">
        <v>362</v>
      </c>
      <c r="G26" s="163">
        <v>44</v>
      </c>
      <c r="H26" s="163">
        <v>318</v>
      </c>
      <c r="I26" s="9">
        <v>262</v>
      </c>
      <c r="J26" s="9">
        <v>27</v>
      </c>
      <c r="K26" s="9">
        <v>4</v>
      </c>
      <c r="L26" s="9">
        <v>11</v>
      </c>
      <c r="M26" s="31">
        <v>0</v>
      </c>
      <c r="N26" s="173">
        <f t="shared" si="0"/>
        <v>220</v>
      </c>
      <c r="O26" s="9">
        <v>36</v>
      </c>
      <c r="P26" s="176">
        <v>184</v>
      </c>
      <c r="Q26" s="190" t="s">
        <v>28</v>
      </c>
      <c r="R26" s="195">
        <f t="shared" si="1"/>
        <v>64.691358024691354</v>
      </c>
      <c r="S26" s="196">
        <f t="shared" si="2"/>
        <v>-35.308641975308646</v>
      </c>
      <c r="T26" s="192">
        <f t="shared" si="3"/>
        <v>75</v>
      </c>
      <c r="U26" s="201">
        <f t="shared" si="4"/>
        <v>-25</v>
      </c>
      <c r="V26" s="195">
        <f t="shared" si="10"/>
        <v>157.14285714285714</v>
      </c>
      <c r="W26" s="198">
        <f t="shared" si="5"/>
        <v>57.142857142857139</v>
      </c>
      <c r="X26" s="192">
        <f t="shared" si="6"/>
        <v>81.818181818181813</v>
      </c>
      <c r="Y26" s="201">
        <f t="shared" si="7"/>
        <v>-18.181818181818187</v>
      </c>
      <c r="Z26" s="208">
        <f t="shared" si="8"/>
        <v>57.861635220125784</v>
      </c>
      <c r="AA26" s="185">
        <f t="shared" si="9"/>
        <v>-42.138364779874216</v>
      </c>
      <c r="AB26" s="184"/>
      <c r="AC26" s="181"/>
      <c r="AD26" s="180"/>
      <c r="AE26" s="180"/>
      <c r="AF26" s="180"/>
      <c r="AG26" s="180"/>
    </row>
    <row r="27" spans="1:33" ht="22.5" x14ac:dyDescent="0.2">
      <c r="A27" s="169" t="s">
        <v>29</v>
      </c>
      <c r="B27" s="163">
        <v>175</v>
      </c>
      <c r="C27" s="163">
        <v>22</v>
      </c>
      <c r="D27" s="163">
        <v>5</v>
      </c>
      <c r="E27" s="163">
        <v>0</v>
      </c>
      <c r="F27" s="163">
        <v>148</v>
      </c>
      <c r="G27" s="163">
        <v>39</v>
      </c>
      <c r="H27" s="163">
        <v>109</v>
      </c>
      <c r="I27" s="9">
        <v>103</v>
      </c>
      <c r="J27" s="9">
        <v>19</v>
      </c>
      <c r="K27" s="30">
        <v>0</v>
      </c>
      <c r="L27" s="9">
        <v>7</v>
      </c>
      <c r="M27" s="31">
        <v>0</v>
      </c>
      <c r="N27" s="173">
        <f t="shared" si="0"/>
        <v>77</v>
      </c>
      <c r="O27" s="9">
        <v>23</v>
      </c>
      <c r="P27" s="176">
        <v>54</v>
      </c>
      <c r="Q27" s="190" t="s">
        <v>29</v>
      </c>
      <c r="R27" s="195">
        <f t="shared" si="1"/>
        <v>58.857142857142854</v>
      </c>
      <c r="S27" s="196">
        <f t="shared" si="2"/>
        <v>-41.142857142857146</v>
      </c>
      <c r="T27" s="192">
        <f t="shared" si="3"/>
        <v>86.36363636363636</v>
      </c>
      <c r="U27" s="201">
        <f t="shared" si="4"/>
        <v>-13.63636363636364</v>
      </c>
      <c r="V27" s="195">
        <f t="shared" si="10"/>
        <v>140</v>
      </c>
      <c r="W27" s="198">
        <f t="shared" si="5"/>
        <v>40</v>
      </c>
      <c r="X27" s="192">
        <f t="shared" si="6"/>
        <v>58.974358974358971</v>
      </c>
      <c r="Y27" s="201">
        <f t="shared" si="7"/>
        <v>-41.025641025641029</v>
      </c>
      <c r="Z27" s="208">
        <f t="shared" si="8"/>
        <v>49.541284403669721</v>
      </c>
      <c r="AA27" s="185">
        <f t="shared" si="9"/>
        <v>-50.458715596330279</v>
      </c>
      <c r="AB27" s="184"/>
      <c r="AC27" s="181"/>
      <c r="AD27" s="180"/>
      <c r="AE27" s="180"/>
      <c r="AF27" s="180"/>
      <c r="AG27" s="180"/>
    </row>
    <row r="28" spans="1:33" ht="22.5" x14ac:dyDescent="0.2">
      <c r="A28" s="169" t="s">
        <v>30</v>
      </c>
      <c r="B28" s="163">
        <v>100</v>
      </c>
      <c r="C28" s="163">
        <v>17</v>
      </c>
      <c r="D28" s="163">
        <v>3</v>
      </c>
      <c r="E28" s="163">
        <v>0</v>
      </c>
      <c r="F28" s="163">
        <v>80</v>
      </c>
      <c r="G28" s="163">
        <v>11</v>
      </c>
      <c r="H28" s="163">
        <v>69</v>
      </c>
      <c r="I28" s="9">
        <v>96</v>
      </c>
      <c r="J28" s="9">
        <v>16</v>
      </c>
      <c r="K28" s="29">
        <v>0</v>
      </c>
      <c r="L28" s="9">
        <v>3</v>
      </c>
      <c r="M28" s="31">
        <v>0</v>
      </c>
      <c r="N28" s="173">
        <f t="shared" si="0"/>
        <v>77</v>
      </c>
      <c r="O28" s="9">
        <v>10</v>
      </c>
      <c r="P28" s="176">
        <v>67</v>
      </c>
      <c r="Q28" s="190" t="s">
        <v>30</v>
      </c>
      <c r="R28" s="195">
        <f t="shared" si="1"/>
        <v>96</v>
      </c>
      <c r="S28" s="196">
        <f t="shared" si="2"/>
        <v>-4</v>
      </c>
      <c r="T28" s="192">
        <f t="shared" si="3"/>
        <v>94.117647058823522</v>
      </c>
      <c r="U28" s="201">
        <f t="shared" si="4"/>
        <v>-5.8823529411764781</v>
      </c>
      <c r="V28" s="195">
        <f t="shared" si="10"/>
        <v>100</v>
      </c>
      <c r="W28" s="197">
        <f t="shared" si="5"/>
        <v>0</v>
      </c>
      <c r="X28" s="192">
        <f t="shared" si="6"/>
        <v>90.909090909090907</v>
      </c>
      <c r="Y28" s="201">
        <f t="shared" si="7"/>
        <v>-9.0909090909090935</v>
      </c>
      <c r="Z28" s="208">
        <f t="shared" si="8"/>
        <v>97.101449275362327</v>
      </c>
      <c r="AA28" s="185">
        <f t="shared" si="9"/>
        <v>-2.8985507246376727</v>
      </c>
      <c r="AB28" s="184"/>
      <c r="AC28" s="181"/>
      <c r="AD28" s="180"/>
      <c r="AE28" s="180"/>
      <c r="AF28" s="180"/>
      <c r="AG28" s="180"/>
    </row>
    <row r="29" spans="1:33" ht="20.25" customHeight="1" thickBot="1" x14ac:dyDescent="0.25">
      <c r="A29" s="169" t="s">
        <v>190</v>
      </c>
      <c r="B29" s="163">
        <v>125</v>
      </c>
      <c r="C29" s="163">
        <v>0</v>
      </c>
      <c r="D29" s="163">
        <v>0</v>
      </c>
      <c r="E29" s="163">
        <v>125</v>
      </c>
      <c r="F29" s="163">
        <v>0</v>
      </c>
      <c r="G29" s="163">
        <v>0</v>
      </c>
      <c r="H29" s="163">
        <v>0</v>
      </c>
      <c r="I29" s="9">
        <v>146</v>
      </c>
      <c r="J29" s="10" t="s">
        <v>220</v>
      </c>
      <c r="K29" s="10" t="s">
        <v>220</v>
      </c>
      <c r="L29" s="10" t="s">
        <v>220</v>
      </c>
      <c r="M29" s="10" t="s">
        <v>220</v>
      </c>
      <c r="N29" s="173" t="e">
        <f t="shared" si="0"/>
        <v>#VALUE!</v>
      </c>
      <c r="O29" s="10" t="s">
        <v>93</v>
      </c>
      <c r="P29" s="178" t="s">
        <v>93</v>
      </c>
      <c r="Q29" s="223" t="s">
        <v>190</v>
      </c>
      <c r="R29" s="224">
        <f t="shared" si="1"/>
        <v>116.8</v>
      </c>
      <c r="S29" s="225">
        <f t="shared" si="2"/>
        <v>16.799999999999997</v>
      </c>
      <c r="T29" s="226" t="s">
        <v>134</v>
      </c>
      <c r="U29" s="227"/>
      <c r="V29" s="228" t="s">
        <v>134</v>
      </c>
      <c r="W29" s="229"/>
      <c r="X29" s="226" t="s">
        <v>134</v>
      </c>
      <c r="Y29" s="230"/>
      <c r="Z29" s="228" t="s">
        <v>134</v>
      </c>
      <c r="AA29" s="231"/>
      <c r="AB29" s="184"/>
      <c r="AC29" s="181"/>
      <c r="AD29" s="180"/>
      <c r="AE29" s="180"/>
      <c r="AF29" s="180"/>
      <c r="AG29" s="180"/>
    </row>
    <row r="30" spans="1:33" ht="46.5" thickTop="1" x14ac:dyDescent="0.25">
      <c r="A30" s="167" t="s">
        <v>191</v>
      </c>
      <c r="B30" s="168">
        <v>1807</v>
      </c>
      <c r="C30" s="168">
        <v>159</v>
      </c>
      <c r="D30" s="168">
        <v>40</v>
      </c>
      <c r="E30" s="168">
        <v>111</v>
      </c>
      <c r="F30" s="168">
        <v>1497</v>
      </c>
      <c r="G30" s="168">
        <v>225</v>
      </c>
      <c r="H30" s="168">
        <v>1272</v>
      </c>
      <c r="I30" s="7">
        <v>1390</v>
      </c>
      <c r="J30" s="7">
        <v>143</v>
      </c>
      <c r="K30" s="31">
        <v>0</v>
      </c>
      <c r="L30" s="7">
        <v>56</v>
      </c>
      <c r="M30" s="31">
        <v>0</v>
      </c>
      <c r="N30" s="173">
        <f t="shared" si="0"/>
        <v>1080</v>
      </c>
      <c r="O30" s="7">
        <v>201</v>
      </c>
      <c r="P30" s="175">
        <v>879</v>
      </c>
      <c r="Q30" s="210" t="s">
        <v>235</v>
      </c>
      <c r="R30" s="211">
        <f t="shared" si="1"/>
        <v>76.92307692307692</v>
      </c>
      <c r="S30" s="212">
        <f t="shared" si="2"/>
        <v>-23.07692307692308</v>
      </c>
      <c r="T30" s="213">
        <f t="shared" si="3"/>
        <v>89.937106918238996</v>
      </c>
      <c r="U30" s="214">
        <f t="shared" si="4"/>
        <v>-10.062893081761004</v>
      </c>
      <c r="V30" s="211">
        <f t="shared" si="10"/>
        <v>140</v>
      </c>
      <c r="W30" s="215">
        <f t="shared" si="5"/>
        <v>40</v>
      </c>
      <c r="X30" s="213">
        <f t="shared" si="6"/>
        <v>89.333333333333329</v>
      </c>
      <c r="Y30" s="214">
        <f t="shared" si="7"/>
        <v>-10.666666666666671</v>
      </c>
      <c r="Z30" s="211">
        <f t="shared" si="8"/>
        <v>69.103773584905653</v>
      </c>
      <c r="AA30" s="212">
        <f t="shared" si="9"/>
        <v>-30.896226415094347</v>
      </c>
      <c r="AB30" s="184"/>
      <c r="AC30" s="181"/>
      <c r="AD30" s="180"/>
      <c r="AE30" s="180"/>
      <c r="AF30" s="180"/>
      <c r="AG30" s="180"/>
    </row>
    <row r="31" spans="1:33" ht="22.5" x14ac:dyDescent="0.2">
      <c r="A31" s="169" t="s">
        <v>32</v>
      </c>
      <c r="B31" s="163">
        <v>127</v>
      </c>
      <c r="C31" s="163">
        <v>16</v>
      </c>
      <c r="D31" s="163">
        <v>2</v>
      </c>
      <c r="E31" s="163">
        <v>0</v>
      </c>
      <c r="F31" s="163">
        <v>109</v>
      </c>
      <c r="G31" s="163">
        <v>22</v>
      </c>
      <c r="H31" s="163">
        <v>87</v>
      </c>
      <c r="I31" s="9">
        <v>125</v>
      </c>
      <c r="J31" s="9">
        <v>16</v>
      </c>
      <c r="K31" s="31">
        <v>0</v>
      </c>
      <c r="L31" s="9">
        <v>2</v>
      </c>
      <c r="M31" s="31">
        <v>0</v>
      </c>
      <c r="N31" s="173">
        <f t="shared" si="0"/>
        <v>107</v>
      </c>
      <c r="O31" s="9">
        <v>22</v>
      </c>
      <c r="P31" s="176">
        <v>85</v>
      </c>
      <c r="Q31" s="190" t="s">
        <v>32</v>
      </c>
      <c r="R31" s="195">
        <f t="shared" si="1"/>
        <v>98.425196850393704</v>
      </c>
      <c r="S31" s="196">
        <f t="shared" si="2"/>
        <v>-1.5748031496062964</v>
      </c>
      <c r="T31" s="192">
        <f t="shared" si="3"/>
        <v>100</v>
      </c>
      <c r="U31" s="202">
        <f t="shared" si="4"/>
        <v>0</v>
      </c>
      <c r="V31" s="195">
        <f t="shared" si="10"/>
        <v>100</v>
      </c>
      <c r="W31" s="197">
        <f t="shared" si="5"/>
        <v>0</v>
      </c>
      <c r="X31" s="192">
        <f t="shared" si="6"/>
        <v>100</v>
      </c>
      <c r="Y31" s="205">
        <f t="shared" si="7"/>
        <v>0</v>
      </c>
      <c r="Z31" s="208">
        <f t="shared" si="8"/>
        <v>97.701149425287355</v>
      </c>
      <c r="AA31" s="185">
        <f t="shared" si="9"/>
        <v>-2.2988505747126453</v>
      </c>
      <c r="AB31" s="184"/>
      <c r="AC31" s="181"/>
      <c r="AD31" s="180"/>
      <c r="AE31" s="180"/>
      <c r="AF31" s="180"/>
      <c r="AG31" s="180"/>
    </row>
    <row r="32" spans="1:33" ht="24" customHeight="1" x14ac:dyDescent="0.2">
      <c r="A32" s="169" t="s">
        <v>33</v>
      </c>
      <c r="B32" s="163">
        <v>211</v>
      </c>
      <c r="C32" s="163">
        <v>15</v>
      </c>
      <c r="D32" s="163">
        <v>5</v>
      </c>
      <c r="E32" s="163">
        <v>0</v>
      </c>
      <c r="F32" s="163">
        <v>191</v>
      </c>
      <c r="G32" s="163">
        <v>16</v>
      </c>
      <c r="H32" s="163">
        <v>175</v>
      </c>
      <c r="I32" s="9">
        <v>178</v>
      </c>
      <c r="J32" s="9">
        <v>14</v>
      </c>
      <c r="K32" s="31">
        <v>0</v>
      </c>
      <c r="L32" s="9">
        <v>6</v>
      </c>
      <c r="M32" s="31">
        <v>0</v>
      </c>
      <c r="N32" s="173">
        <f t="shared" si="0"/>
        <v>158</v>
      </c>
      <c r="O32" s="9">
        <v>14</v>
      </c>
      <c r="P32" s="176">
        <v>144</v>
      </c>
      <c r="Q32" s="190" t="s">
        <v>33</v>
      </c>
      <c r="R32" s="195">
        <f t="shared" si="1"/>
        <v>84.360189573459721</v>
      </c>
      <c r="S32" s="196">
        <f t="shared" si="2"/>
        <v>-15.639810426540279</v>
      </c>
      <c r="T32" s="192">
        <f t="shared" si="3"/>
        <v>93.333333333333343</v>
      </c>
      <c r="U32" s="201">
        <f t="shared" si="4"/>
        <v>-6.6666666666666572</v>
      </c>
      <c r="V32" s="195">
        <f t="shared" si="10"/>
        <v>120</v>
      </c>
      <c r="W32" s="198">
        <f t="shared" si="5"/>
        <v>20</v>
      </c>
      <c r="X32" s="192">
        <f t="shared" si="6"/>
        <v>87.5</v>
      </c>
      <c r="Y32" s="201">
        <f t="shared" si="7"/>
        <v>-12.5</v>
      </c>
      <c r="Z32" s="208">
        <f t="shared" si="8"/>
        <v>82.285714285714292</v>
      </c>
      <c r="AA32" s="185">
        <f t="shared" si="9"/>
        <v>-17.714285714285708</v>
      </c>
      <c r="AB32" s="184"/>
      <c r="AC32" s="181"/>
      <c r="AD32" s="180"/>
      <c r="AE32" s="180"/>
      <c r="AF32" s="180"/>
      <c r="AG32" s="180"/>
    </row>
    <row r="33" spans="1:33" ht="33.75" x14ac:dyDescent="0.2">
      <c r="A33" s="169" t="s">
        <v>209</v>
      </c>
      <c r="B33" s="163">
        <f>250-B34</f>
        <v>229</v>
      </c>
      <c r="C33" s="163">
        <f>20-C34</f>
        <v>19</v>
      </c>
      <c r="D33" s="163">
        <f>8-D34</f>
        <v>7</v>
      </c>
      <c r="E33" s="163">
        <v>0</v>
      </c>
      <c r="F33" s="163">
        <f>222-F34</f>
        <v>203</v>
      </c>
      <c r="G33" s="163">
        <f>25-G34</f>
        <v>24</v>
      </c>
      <c r="H33" s="163">
        <f>197-H34</f>
        <v>179</v>
      </c>
      <c r="I33" s="9">
        <v>203</v>
      </c>
      <c r="J33" s="9">
        <v>19</v>
      </c>
      <c r="K33" s="31">
        <v>0</v>
      </c>
      <c r="L33" s="9">
        <v>7</v>
      </c>
      <c r="M33" s="31">
        <v>0</v>
      </c>
      <c r="N33" s="173">
        <f t="shared" si="0"/>
        <v>177</v>
      </c>
      <c r="O33" s="9">
        <v>20</v>
      </c>
      <c r="P33" s="176">
        <v>157</v>
      </c>
      <c r="Q33" s="190" t="s">
        <v>209</v>
      </c>
      <c r="R33" s="195">
        <f t="shared" si="1"/>
        <v>88.646288209606979</v>
      </c>
      <c r="S33" s="196">
        <f t="shared" si="2"/>
        <v>-11.353711790393021</v>
      </c>
      <c r="T33" s="192">
        <f t="shared" si="3"/>
        <v>100</v>
      </c>
      <c r="U33" s="202">
        <f t="shared" si="4"/>
        <v>0</v>
      </c>
      <c r="V33" s="195">
        <f t="shared" si="10"/>
        <v>99.999999999999986</v>
      </c>
      <c r="W33" s="197">
        <f t="shared" si="5"/>
        <v>0</v>
      </c>
      <c r="X33" s="192">
        <f t="shared" si="6"/>
        <v>83.333333333333343</v>
      </c>
      <c r="Y33" s="201">
        <f t="shared" si="7"/>
        <v>-16.666666666666657</v>
      </c>
      <c r="Z33" s="208">
        <f t="shared" si="8"/>
        <v>87.709497206703915</v>
      </c>
      <c r="AA33" s="185">
        <f t="shared" si="9"/>
        <v>-12.290502793296085</v>
      </c>
      <c r="AB33" s="184"/>
      <c r="AC33" s="181"/>
      <c r="AD33" s="180"/>
      <c r="AE33" s="180"/>
      <c r="AF33" s="180"/>
      <c r="AG33" s="180"/>
    </row>
    <row r="34" spans="1:33" ht="33.75" x14ac:dyDescent="0.2">
      <c r="A34" s="170" t="s">
        <v>210</v>
      </c>
      <c r="B34" s="163">
        <v>21</v>
      </c>
      <c r="C34" s="163">
        <v>1</v>
      </c>
      <c r="D34" s="163">
        <v>1</v>
      </c>
      <c r="E34" s="163">
        <v>0</v>
      </c>
      <c r="F34" s="163">
        <v>19</v>
      </c>
      <c r="G34" s="163">
        <v>1</v>
      </c>
      <c r="H34" s="163">
        <v>18</v>
      </c>
      <c r="I34" s="9">
        <v>21</v>
      </c>
      <c r="J34" s="9">
        <v>1</v>
      </c>
      <c r="K34" s="31">
        <v>0</v>
      </c>
      <c r="L34" s="9">
        <v>1</v>
      </c>
      <c r="M34" s="31">
        <v>0</v>
      </c>
      <c r="N34" s="173">
        <f t="shared" si="0"/>
        <v>19</v>
      </c>
      <c r="O34" s="9">
        <v>1</v>
      </c>
      <c r="P34" s="176">
        <v>18</v>
      </c>
      <c r="Q34" s="190" t="s">
        <v>214</v>
      </c>
      <c r="R34" s="195">
        <f t="shared" si="1"/>
        <v>100</v>
      </c>
      <c r="S34" s="197">
        <f t="shared" si="2"/>
        <v>0</v>
      </c>
      <c r="T34" s="192">
        <f t="shared" si="3"/>
        <v>100</v>
      </c>
      <c r="U34" s="202">
        <f t="shared" si="4"/>
        <v>0</v>
      </c>
      <c r="V34" s="195">
        <f t="shared" si="10"/>
        <v>100</v>
      </c>
      <c r="W34" s="197">
        <f t="shared" si="5"/>
        <v>0</v>
      </c>
      <c r="X34" s="192">
        <f t="shared" si="6"/>
        <v>100</v>
      </c>
      <c r="Y34" s="205">
        <f t="shared" si="7"/>
        <v>0</v>
      </c>
      <c r="Z34" s="208">
        <f t="shared" si="8"/>
        <v>100</v>
      </c>
      <c r="AA34" s="186">
        <f t="shared" si="9"/>
        <v>0</v>
      </c>
      <c r="AB34" s="184"/>
      <c r="AC34" s="181"/>
      <c r="AD34" s="180"/>
      <c r="AE34" s="180"/>
      <c r="AF34" s="180"/>
      <c r="AG34" s="180"/>
    </row>
    <row r="35" spans="1:33" ht="22.5" x14ac:dyDescent="0.2">
      <c r="A35" s="169" t="s">
        <v>35</v>
      </c>
      <c r="B35" s="163">
        <v>302</v>
      </c>
      <c r="C35" s="163">
        <v>26</v>
      </c>
      <c r="D35" s="163">
        <v>2</v>
      </c>
      <c r="E35" s="163">
        <v>0</v>
      </c>
      <c r="F35" s="163">
        <v>274</v>
      </c>
      <c r="G35" s="163">
        <v>22</v>
      </c>
      <c r="H35" s="163">
        <v>252</v>
      </c>
      <c r="I35" s="9">
        <v>207</v>
      </c>
      <c r="J35" s="9">
        <v>26</v>
      </c>
      <c r="K35" s="31">
        <v>0</v>
      </c>
      <c r="L35" s="9">
        <v>2</v>
      </c>
      <c r="M35" s="31">
        <v>0</v>
      </c>
      <c r="N35" s="173">
        <f t="shared" si="0"/>
        <v>179</v>
      </c>
      <c r="O35" s="9">
        <v>21</v>
      </c>
      <c r="P35" s="176">
        <v>158</v>
      </c>
      <c r="Q35" s="190" t="s">
        <v>35</v>
      </c>
      <c r="R35" s="195">
        <f t="shared" si="1"/>
        <v>68.543046357615893</v>
      </c>
      <c r="S35" s="196">
        <f t="shared" si="2"/>
        <v>-31.456953642384107</v>
      </c>
      <c r="T35" s="192">
        <f t="shared" si="3"/>
        <v>100</v>
      </c>
      <c r="U35" s="202">
        <f t="shared" si="4"/>
        <v>0</v>
      </c>
      <c r="V35" s="195">
        <f t="shared" si="10"/>
        <v>100</v>
      </c>
      <c r="W35" s="197">
        <f t="shared" si="5"/>
        <v>0</v>
      </c>
      <c r="X35" s="192">
        <f t="shared" si="6"/>
        <v>95.454545454545453</v>
      </c>
      <c r="Y35" s="201">
        <f t="shared" si="7"/>
        <v>-4.5454545454545467</v>
      </c>
      <c r="Z35" s="208">
        <f t="shared" si="8"/>
        <v>62.698412698412696</v>
      </c>
      <c r="AA35" s="185">
        <f t="shared" si="9"/>
        <v>-37.301587301587304</v>
      </c>
      <c r="AB35" s="184"/>
      <c r="AC35" s="181"/>
      <c r="AD35" s="180"/>
      <c r="AE35" s="180"/>
      <c r="AF35" s="180"/>
      <c r="AG35" s="180"/>
    </row>
    <row r="36" spans="1:33" ht="22.5" x14ac:dyDescent="0.2">
      <c r="A36" s="169" t="s">
        <v>36</v>
      </c>
      <c r="B36" s="163">
        <v>88</v>
      </c>
      <c r="C36" s="163">
        <v>15</v>
      </c>
      <c r="D36" s="163">
        <v>7</v>
      </c>
      <c r="E36" s="163">
        <v>0</v>
      </c>
      <c r="F36" s="163">
        <v>66</v>
      </c>
      <c r="G36" s="163">
        <v>19</v>
      </c>
      <c r="H36" s="163">
        <v>47</v>
      </c>
      <c r="I36" s="9">
        <v>22</v>
      </c>
      <c r="J36" s="30">
        <v>0</v>
      </c>
      <c r="K36" s="31">
        <v>0</v>
      </c>
      <c r="L36" s="9">
        <v>22</v>
      </c>
      <c r="M36" s="31">
        <v>0</v>
      </c>
      <c r="N36" s="173">
        <f t="shared" si="0"/>
        <v>0</v>
      </c>
      <c r="O36" s="29">
        <v>0</v>
      </c>
      <c r="P36" s="177">
        <v>0</v>
      </c>
      <c r="Q36" s="190" t="s">
        <v>36</v>
      </c>
      <c r="R36" s="195">
        <f t="shared" si="1"/>
        <v>25</v>
      </c>
      <c r="S36" s="196">
        <f t="shared" si="2"/>
        <v>-75</v>
      </c>
      <c r="T36" s="192">
        <f t="shared" si="3"/>
        <v>0</v>
      </c>
      <c r="U36" s="201">
        <f t="shared" si="4"/>
        <v>-100</v>
      </c>
      <c r="V36" s="195">
        <f t="shared" si="10"/>
        <v>314.28571428571428</v>
      </c>
      <c r="W36" s="198">
        <f t="shared" si="5"/>
        <v>214.28571428571428</v>
      </c>
      <c r="X36" s="192">
        <f t="shared" si="6"/>
        <v>0</v>
      </c>
      <c r="Y36" s="201">
        <f t="shared" si="7"/>
        <v>-100</v>
      </c>
      <c r="Z36" s="208">
        <f t="shared" si="8"/>
        <v>0</v>
      </c>
      <c r="AA36" s="185">
        <f t="shared" si="9"/>
        <v>-100</v>
      </c>
      <c r="AB36" s="184"/>
      <c r="AC36" s="181"/>
      <c r="AD36" s="180"/>
      <c r="AE36" s="180"/>
      <c r="AF36" s="180"/>
      <c r="AG36" s="180"/>
    </row>
    <row r="37" spans="1:33" ht="22.5" x14ac:dyDescent="0.2">
      <c r="A37" s="169" t="s">
        <v>37</v>
      </c>
      <c r="B37" s="163">
        <v>221</v>
      </c>
      <c r="C37" s="163">
        <v>17</v>
      </c>
      <c r="D37" s="163">
        <v>1</v>
      </c>
      <c r="E37" s="163">
        <v>0</v>
      </c>
      <c r="F37" s="163">
        <v>203</v>
      </c>
      <c r="G37" s="163">
        <v>61</v>
      </c>
      <c r="H37" s="163">
        <v>142</v>
      </c>
      <c r="I37" s="9">
        <v>205</v>
      </c>
      <c r="J37" s="9">
        <v>17</v>
      </c>
      <c r="K37" s="31">
        <v>0</v>
      </c>
      <c r="L37" s="9">
        <v>1</v>
      </c>
      <c r="M37" s="31">
        <v>0</v>
      </c>
      <c r="N37" s="173">
        <f t="shared" si="0"/>
        <v>187</v>
      </c>
      <c r="O37" s="9">
        <v>66</v>
      </c>
      <c r="P37" s="176">
        <v>121</v>
      </c>
      <c r="Q37" s="190" t="s">
        <v>37</v>
      </c>
      <c r="R37" s="195">
        <f t="shared" si="1"/>
        <v>92.76018099547511</v>
      </c>
      <c r="S37" s="196">
        <f t="shared" si="2"/>
        <v>-7.2398190045248896</v>
      </c>
      <c r="T37" s="192">
        <f t="shared" si="3"/>
        <v>99.999999999999986</v>
      </c>
      <c r="U37" s="202">
        <f t="shared" si="4"/>
        <v>0</v>
      </c>
      <c r="V37" s="195">
        <f t="shared" si="10"/>
        <v>100</v>
      </c>
      <c r="W37" s="197">
        <f t="shared" si="5"/>
        <v>0</v>
      </c>
      <c r="X37" s="192">
        <f t="shared" si="6"/>
        <v>108.19672131147541</v>
      </c>
      <c r="Y37" s="207">
        <f t="shared" si="7"/>
        <v>8.1967213114754145</v>
      </c>
      <c r="Z37" s="208">
        <f t="shared" si="8"/>
        <v>85.211267605633807</v>
      </c>
      <c r="AA37" s="185">
        <f t="shared" si="9"/>
        <v>-14.788732394366193</v>
      </c>
      <c r="AB37" s="184"/>
      <c r="AC37" s="181"/>
      <c r="AD37" s="180"/>
      <c r="AE37" s="180"/>
      <c r="AF37" s="180"/>
      <c r="AG37" s="180"/>
    </row>
    <row r="38" spans="1:33" ht="22.5" x14ac:dyDescent="0.2">
      <c r="A38" s="169" t="s">
        <v>38</v>
      </c>
      <c r="B38" s="163">
        <v>40</v>
      </c>
      <c r="C38" s="163">
        <v>5</v>
      </c>
      <c r="D38" s="163">
        <v>12</v>
      </c>
      <c r="E38" s="163">
        <v>0</v>
      </c>
      <c r="F38" s="163">
        <v>23</v>
      </c>
      <c r="G38" s="163">
        <v>13</v>
      </c>
      <c r="H38" s="163">
        <v>10</v>
      </c>
      <c r="I38" s="9">
        <v>40</v>
      </c>
      <c r="J38" s="9">
        <v>5</v>
      </c>
      <c r="K38" s="31">
        <v>0</v>
      </c>
      <c r="L38" s="9">
        <v>12</v>
      </c>
      <c r="M38" s="31">
        <v>0</v>
      </c>
      <c r="N38" s="173">
        <f t="shared" si="0"/>
        <v>23</v>
      </c>
      <c r="O38" s="9">
        <v>13</v>
      </c>
      <c r="P38" s="176">
        <v>10</v>
      </c>
      <c r="Q38" s="190" t="s">
        <v>38</v>
      </c>
      <c r="R38" s="195">
        <f t="shared" si="1"/>
        <v>100</v>
      </c>
      <c r="S38" s="197">
        <f t="shared" si="2"/>
        <v>0</v>
      </c>
      <c r="T38" s="192">
        <f t="shared" si="3"/>
        <v>100</v>
      </c>
      <c r="U38" s="202">
        <f t="shared" si="4"/>
        <v>0</v>
      </c>
      <c r="V38" s="195">
        <f t="shared" si="10"/>
        <v>100</v>
      </c>
      <c r="W38" s="197">
        <f t="shared" si="5"/>
        <v>0</v>
      </c>
      <c r="X38" s="192">
        <f t="shared" si="6"/>
        <v>100</v>
      </c>
      <c r="Y38" s="205">
        <f t="shared" si="7"/>
        <v>0</v>
      </c>
      <c r="Z38" s="208">
        <f t="shared" si="8"/>
        <v>100</v>
      </c>
      <c r="AA38" s="186">
        <f t="shared" si="9"/>
        <v>0</v>
      </c>
      <c r="AB38" s="184"/>
      <c r="AC38" s="181"/>
      <c r="AD38" s="180"/>
      <c r="AE38" s="180"/>
      <c r="AF38" s="180"/>
      <c r="AG38" s="180"/>
    </row>
    <row r="39" spans="1:33" ht="22.5" x14ac:dyDescent="0.2">
      <c r="A39" s="169" t="s">
        <v>39</v>
      </c>
      <c r="B39" s="163">
        <v>220</v>
      </c>
      <c r="C39" s="163">
        <v>21</v>
      </c>
      <c r="D39" s="163">
        <v>1</v>
      </c>
      <c r="E39" s="163">
        <v>0</v>
      </c>
      <c r="F39" s="163">
        <v>198</v>
      </c>
      <c r="G39" s="163">
        <v>21</v>
      </c>
      <c r="H39" s="163">
        <v>177</v>
      </c>
      <c r="I39" s="9">
        <v>142</v>
      </c>
      <c r="J39" s="9">
        <v>21</v>
      </c>
      <c r="K39" s="31">
        <v>0</v>
      </c>
      <c r="L39" s="9">
        <v>1</v>
      </c>
      <c r="M39" s="31">
        <v>0</v>
      </c>
      <c r="N39" s="173">
        <f t="shared" si="0"/>
        <v>120</v>
      </c>
      <c r="O39" s="9">
        <v>19</v>
      </c>
      <c r="P39" s="176">
        <v>101</v>
      </c>
      <c r="Q39" s="190" t="s">
        <v>39</v>
      </c>
      <c r="R39" s="195">
        <f t="shared" si="1"/>
        <v>64.545454545454547</v>
      </c>
      <c r="S39" s="196">
        <f t="shared" si="2"/>
        <v>-35.454545454545453</v>
      </c>
      <c r="T39" s="192">
        <f t="shared" si="3"/>
        <v>100</v>
      </c>
      <c r="U39" s="202">
        <f t="shared" si="4"/>
        <v>0</v>
      </c>
      <c r="V39" s="195">
        <f t="shared" si="10"/>
        <v>100</v>
      </c>
      <c r="W39" s="197">
        <f t="shared" si="5"/>
        <v>0</v>
      </c>
      <c r="X39" s="192">
        <f t="shared" si="6"/>
        <v>90.476190476190482</v>
      </c>
      <c r="Y39" s="201">
        <f t="shared" si="7"/>
        <v>-9.5238095238095184</v>
      </c>
      <c r="Z39" s="208">
        <f t="shared" si="8"/>
        <v>57.062146892655363</v>
      </c>
      <c r="AA39" s="185">
        <f t="shared" si="9"/>
        <v>-42.937853107344637</v>
      </c>
      <c r="AB39" s="184"/>
      <c r="AC39" s="181"/>
      <c r="AD39" s="180"/>
      <c r="AE39" s="180"/>
      <c r="AF39" s="180"/>
      <c r="AG39" s="180"/>
    </row>
    <row r="40" spans="1:33" ht="22.5" x14ac:dyDescent="0.2">
      <c r="A40" s="169" t="s">
        <v>40</v>
      </c>
      <c r="B40" s="163">
        <v>237</v>
      </c>
      <c r="C40" s="163">
        <v>24</v>
      </c>
      <c r="D40" s="163">
        <v>2</v>
      </c>
      <c r="E40" s="163">
        <v>0</v>
      </c>
      <c r="F40" s="163">
        <v>211</v>
      </c>
      <c r="G40" s="163">
        <v>26</v>
      </c>
      <c r="H40" s="163">
        <v>185</v>
      </c>
      <c r="I40" s="9">
        <v>136</v>
      </c>
      <c r="J40" s="9">
        <v>24</v>
      </c>
      <c r="K40" s="31">
        <v>0</v>
      </c>
      <c r="L40" s="9">
        <v>2</v>
      </c>
      <c r="M40" s="31">
        <v>0</v>
      </c>
      <c r="N40" s="173">
        <f t="shared" si="0"/>
        <v>110</v>
      </c>
      <c r="O40" s="9">
        <v>25</v>
      </c>
      <c r="P40" s="176">
        <v>85</v>
      </c>
      <c r="Q40" s="190" t="s">
        <v>40</v>
      </c>
      <c r="R40" s="195">
        <f t="shared" si="1"/>
        <v>57.383966244725734</v>
      </c>
      <c r="S40" s="196">
        <f t="shared" si="2"/>
        <v>-42.616033755274266</v>
      </c>
      <c r="T40" s="192">
        <f t="shared" si="3"/>
        <v>100</v>
      </c>
      <c r="U40" s="202">
        <f t="shared" si="4"/>
        <v>0</v>
      </c>
      <c r="V40" s="195">
        <f t="shared" si="10"/>
        <v>100</v>
      </c>
      <c r="W40" s="197">
        <f t="shared" si="5"/>
        <v>0</v>
      </c>
      <c r="X40" s="192">
        <f t="shared" si="6"/>
        <v>96.153846153846146</v>
      </c>
      <c r="Y40" s="201">
        <f t="shared" si="7"/>
        <v>-3.8461538461538538</v>
      </c>
      <c r="Z40" s="208">
        <f t="shared" si="8"/>
        <v>45.945945945945944</v>
      </c>
      <c r="AA40" s="185">
        <f t="shared" si="9"/>
        <v>-54.054054054054056</v>
      </c>
      <c r="AB40" s="184"/>
      <c r="AC40" s="181"/>
      <c r="AD40" s="180"/>
      <c r="AE40" s="180"/>
      <c r="AF40" s="180"/>
      <c r="AG40" s="180"/>
    </row>
    <row r="41" spans="1:33" ht="23.25" thickBot="1" x14ac:dyDescent="0.25">
      <c r="A41" s="169" t="s">
        <v>192</v>
      </c>
      <c r="B41" s="163">
        <v>111</v>
      </c>
      <c r="C41" s="163" t="s">
        <v>127</v>
      </c>
      <c r="D41" s="163" t="s">
        <v>127</v>
      </c>
      <c r="E41" s="163">
        <v>111</v>
      </c>
      <c r="F41" s="163" t="s">
        <v>127</v>
      </c>
      <c r="G41" s="163" t="s">
        <v>127</v>
      </c>
      <c r="H41" s="163" t="s">
        <v>127</v>
      </c>
      <c r="I41" s="9">
        <v>111</v>
      </c>
      <c r="J41" s="25"/>
      <c r="K41" s="10" t="s">
        <v>93</v>
      </c>
      <c r="L41" s="10" t="s">
        <v>93</v>
      </c>
      <c r="M41" s="10" t="s">
        <v>93</v>
      </c>
      <c r="N41" s="173" t="e">
        <f t="shared" si="0"/>
        <v>#VALUE!</v>
      </c>
      <c r="O41" s="10" t="s">
        <v>93</v>
      </c>
      <c r="P41" s="178" t="s">
        <v>93</v>
      </c>
      <c r="Q41" s="223" t="s">
        <v>192</v>
      </c>
      <c r="R41" s="224">
        <f t="shared" si="1"/>
        <v>99.999999999999986</v>
      </c>
      <c r="S41" s="233">
        <f t="shared" si="2"/>
        <v>0</v>
      </c>
      <c r="T41" s="226" t="s">
        <v>134</v>
      </c>
      <c r="U41" s="227"/>
      <c r="V41" s="228" t="s">
        <v>134</v>
      </c>
      <c r="W41" s="229"/>
      <c r="X41" s="226" t="s">
        <v>134</v>
      </c>
      <c r="Y41" s="230"/>
      <c r="Z41" s="228" t="s">
        <v>134</v>
      </c>
      <c r="AA41" s="231"/>
      <c r="AB41" s="184"/>
      <c r="AC41" s="181"/>
      <c r="AD41" s="180"/>
      <c r="AE41" s="180"/>
      <c r="AF41" s="180"/>
      <c r="AG41" s="180"/>
    </row>
    <row r="42" spans="1:33" ht="35.25" thickTop="1" x14ac:dyDescent="0.25">
      <c r="A42" s="167" t="s">
        <v>193</v>
      </c>
      <c r="B42" s="168">
        <v>1745</v>
      </c>
      <c r="C42" s="168">
        <v>144</v>
      </c>
      <c r="D42" s="168">
        <v>30</v>
      </c>
      <c r="E42" s="163">
        <v>0</v>
      </c>
      <c r="F42" s="168">
        <v>1571</v>
      </c>
      <c r="G42" s="168">
        <v>95</v>
      </c>
      <c r="H42" s="168">
        <v>1476</v>
      </c>
      <c r="I42" s="7">
        <f>1971-10-279</f>
        <v>1682</v>
      </c>
      <c r="J42" s="7">
        <f>157-14</f>
        <v>143</v>
      </c>
      <c r="K42" s="31">
        <v>0</v>
      </c>
      <c r="L42" s="7">
        <f>41-11</f>
        <v>30</v>
      </c>
      <c r="M42" s="31">
        <v>0</v>
      </c>
      <c r="N42" s="173">
        <f t="shared" si="0"/>
        <v>1509</v>
      </c>
      <c r="O42" s="7">
        <f>96-4</f>
        <v>92</v>
      </c>
      <c r="P42" s="175">
        <f>1667-250</f>
        <v>1417</v>
      </c>
      <c r="Q42" s="210" t="s">
        <v>237</v>
      </c>
      <c r="R42" s="211">
        <f t="shared" si="1"/>
        <v>96.38968481375359</v>
      </c>
      <c r="S42" s="212">
        <f t="shared" si="2"/>
        <v>-3.6103151862464102</v>
      </c>
      <c r="T42" s="213">
        <f t="shared" si="3"/>
        <v>99.305555555555557</v>
      </c>
      <c r="U42" s="214">
        <f t="shared" si="4"/>
        <v>-0.69444444444444287</v>
      </c>
      <c r="V42" s="211">
        <f t="shared" si="10"/>
        <v>100</v>
      </c>
      <c r="W42" s="232">
        <f t="shared" si="5"/>
        <v>0</v>
      </c>
      <c r="X42" s="213">
        <f t="shared" si="6"/>
        <v>96.842105263157904</v>
      </c>
      <c r="Y42" s="214">
        <f t="shared" si="7"/>
        <v>-3.1578947368420955</v>
      </c>
      <c r="Z42" s="211">
        <f t="shared" si="8"/>
        <v>96.002710027100278</v>
      </c>
      <c r="AA42" s="212">
        <f t="shared" si="9"/>
        <v>-3.997289972899722</v>
      </c>
      <c r="AB42" s="184"/>
      <c r="AC42" s="181"/>
      <c r="AD42" s="180"/>
      <c r="AE42" s="180"/>
      <c r="AF42" s="180"/>
      <c r="AG42" s="180"/>
    </row>
    <row r="43" spans="1:33" ht="22.5" x14ac:dyDescent="0.2">
      <c r="A43" s="169" t="s">
        <v>194</v>
      </c>
      <c r="B43" s="163">
        <v>60</v>
      </c>
      <c r="C43" s="163">
        <v>7</v>
      </c>
      <c r="D43" s="163">
        <v>2</v>
      </c>
      <c r="E43" s="163">
        <v>0</v>
      </c>
      <c r="F43" s="163">
        <v>51</v>
      </c>
      <c r="G43" s="163">
        <v>5</v>
      </c>
      <c r="H43" s="163">
        <v>46</v>
      </c>
      <c r="I43" s="9">
        <v>60</v>
      </c>
      <c r="J43" s="9">
        <v>7</v>
      </c>
      <c r="K43" s="31">
        <v>0</v>
      </c>
      <c r="L43" s="9">
        <v>2</v>
      </c>
      <c r="M43" s="31">
        <v>0</v>
      </c>
      <c r="N43" s="173">
        <f t="shared" si="0"/>
        <v>51</v>
      </c>
      <c r="O43" s="9">
        <v>3</v>
      </c>
      <c r="P43" s="176">
        <v>48</v>
      </c>
      <c r="Q43" s="190" t="s">
        <v>194</v>
      </c>
      <c r="R43" s="195">
        <f t="shared" si="1"/>
        <v>100</v>
      </c>
      <c r="S43" s="197">
        <f t="shared" si="2"/>
        <v>0</v>
      </c>
      <c r="T43" s="192">
        <f t="shared" si="3"/>
        <v>99.999999999999986</v>
      </c>
      <c r="U43" s="202">
        <f t="shared" si="4"/>
        <v>0</v>
      </c>
      <c r="V43" s="195">
        <f t="shared" si="10"/>
        <v>100</v>
      </c>
      <c r="W43" s="197">
        <f t="shared" si="5"/>
        <v>0</v>
      </c>
      <c r="X43" s="192">
        <f t="shared" si="6"/>
        <v>60</v>
      </c>
      <c r="Y43" s="201">
        <f t="shared" si="7"/>
        <v>-40</v>
      </c>
      <c r="Z43" s="208">
        <f t="shared" si="8"/>
        <v>104.34782608695652</v>
      </c>
      <c r="AA43" s="187">
        <f t="shared" si="9"/>
        <v>4.3478260869565162</v>
      </c>
      <c r="AB43" s="184"/>
      <c r="AC43" s="181"/>
      <c r="AD43" s="180"/>
      <c r="AE43" s="180"/>
      <c r="AF43" s="180"/>
      <c r="AG43" s="180"/>
    </row>
    <row r="44" spans="1:33" ht="22.5" x14ac:dyDescent="0.2">
      <c r="A44" s="169" t="s">
        <v>41</v>
      </c>
      <c r="B44" s="163">
        <v>128</v>
      </c>
      <c r="C44" s="163">
        <v>13</v>
      </c>
      <c r="D44" s="163">
        <v>1</v>
      </c>
      <c r="E44" s="163">
        <v>0</v>
      </c>
      <c r="F44" s="163">
        <v>114</v>
      </c>
      <c r="G44" s="163">
        <v>2</v>
      </c>
      <c r="H44" s="163">
        <v>112</v>
      </c>
      <c r="I44" s="9">
        <v>127</v>
      </c>
      <c r="J44" s="9">
        <v>13</v>
      </c>
      <c r="K44" s="31">
        <v>0</v>
      </c>
      <c r="L44" s="9">
        <v>1</v>
      </c>
      <c r="M44" s="31">
        <v>0</v>
      </c>
      <c r="N44" s="173">
        <f t="shared" si="0"/>
        <v>113</v>
      </c>
      <c r="O44" s="9">
        <v>2</v>
      </c>
      <c r="P44" s="176">
        <v>111</v>
      </c>
      <c r="Q44" s="190" t="s">
        <v>41</v>
      </c>
      <c r="R44" s="195">
        <f t="shared" si="1"/>
        <v>99.21875</v>
      </c>
      <c r="S44" s="196">
        <f t="shared" si="2"/>
        <v>-0.78125</v>
      </c>
      <c r="T44" s="192">
        <f t="shared" si="3"/>
        <v>100</v>
      </c>
      <c r="U44" s="202">
        <f t="shared" si="4"/>
        <v>0</v>
      </c>
      <c r="V44" s="195">
        <f t="shared" si="10"/>
        <v>100</v>
      </c>
      <c r="W44" s="197">
        <f t="shared" si="5"/>
        <v>0</v>
      </c>
      <c r="X44" s="192">
        <f t="shared" si="6"/>
        <v>100</v>
      </c>
      <c r="Y44" s="205">
        <f t="shared" si="7"/>
        <v>0</v>
      </c>
      <c r="Z44" s="208">
        <f t="shared" si="8"/>
        <v>99.107142857142847</v>
      </c>
      <c r="AA44" s="185">
        <f t="shared" si="9"/>
        <v>-0.89285714285715301</v>
      </c>
      <c r="AB44" s="184"/>
      <c r="AC44" s="181"/>
      <c r="AD44" s="180"/>
      <c r="AE44" s="180"/>
      <c r="AF44" s="180"/>
      <c r="AG44" s="180"/>
    </row>
    <row r="45" spans="1:33" ht="22.5" x14ac:dyDescent="0.2">
      <c r="A45" s="169" t="s">
        <v>43</v>
      </c>
      <c r="B45" s="163">
        <v>426</v>
      </c>
      <c r="C45" s="163">
        <v>37</v>
      </c>
      <c r="D45" s="163">
        <v>7</v>
      </c>
      <c r="E45" s="163">
        <v>0</v>
      </c>
      <c r="F45" s="163">
        <v>382</v>
      </c>
      <c r="G45" s="163">
        <v>30</v>
      </c>
      <c r="H45" s="163">
        <v>352</v>
      </c>
      <c r="I45" s="9">
        <v>425</v>
      </c>
      <c r="J45" s="9">
        <v>37</v>
      </c>
      <c r="K45" s="31">
        <v>0</v>
      </c>
      <c r="L45" s="9">
        <v>7</v>
      </c>
      <c r="M45" s="31">
        <v>0</v>
      </c>
      <c r="N45" s="173">
        <f t="shared" si="0"/>
        <v>381</v>
      </c>
      <c r="O45" s="9">
        <v>30</v>
      </c>
      <c r="P45" s="176">
        <v>351</v>
      </c>
      <c r="Q45" s="190" t="s">
        <v>43</v>
      </c>
      <c r="R45" s="195">
        <f t="shared" si="1"/>
        <v>99.765258215962447</v>
      </c>
      <c r="S45" s="196">
        <f t="shared" si="2"/>
        <v>-0.23474178403755275</v>
      </c>
      <c r="T45" s="192">
        <f t="shared" si="3"/>
        <v>100</v>
      </c>
      <c r="U45" s="202">
        <f t="shared" si="4"/>
        <v>0</v>
      </c>
      <c r="V45" s="195">
        <f t="shared" si="10"/>
        <v>99.999999999999986</v>
      </c>
      <c r="W45" s="197">
        <f t="shared" si="5"/>
        <v>0</v>
      </c>
      <c r="X45" s="192">
        <f t="shared" si="6"/>
        <v>100</v>
      </c>
      <c r="Y45" s="205">
        <f t="shared" si="7"/>
        <v>0</v>
      </c>
      <c r="Z45" s="208">
        <f t="shared" si="8"/>
        <v>99.715909090909093</v>
      </c>
      <c r="AA45" s="185">
        <f t="shared" si="9"/>
        <v>-0.28409090909090651</v>
      </c>
      <c r="AB45" s="184"/>
      <c r="AC45" s="181"/>
      <c r="AD45" s="180"/>
      <c r="AE45" s="180"/>
      <c r="AF45" s="180"/>
      <c r="AG45" s="180"/>
    </row>
    <row r="46" spans="1:33" ht="22.5" x14ac:dyDescent="0.2">
      <c r="A46" s="169" t="s">
        <v>44</v>
      </c>
      <c r="B46" s="163">
        <v>177</v>
      </c>
      <c r="C46" s="163">
        <v>11</v>
      </c>
      <c r="D46" s="163">
        <v>2</v>
      </c>
      <c r="E46" s="163">
        <v>0</v>
      </c>
      <c r="F46" s="163">
        <v>164</v>
      </c>
      <c r="G46" s="163">
        <v>11</v>
      </c>
      <c r="H46" s="163">
        <v>153</v>
      </c>
      <c r="I46" s="9">
        <v>141</v>
      </c>
      <c r="J46" s="9">
        <v>11</v>
      </c>
      <c r="K46" s="31">
        <v>0</v>
      </c>
      <c r="L46" s="9">
        <v>2</v>
      </c>
      <c r="M46" s="31">
        <v>0</v>
      </c>
      <c r="N46" s="173">
        <f t="shared" si="0"/>
        <v>128</v>
      </c>
      <c r="O46" s="9">
        <v>11</v>
      </c>
      <c r="P46" s="176">
        <v>117</v>
      </c>
      <c r="Q46" s="190" t="s">
        <v>44</v>
      </c>
      <c r="R46" s="195">
        <f t="shared" si="1"/>
        <v>79.66101694915254</v>
      </c>
      <c r="S46" s="196">
        <f t="shared" si="2"/>
        <v>-20.33898305084746</v>
      </c>
      <c r="T46" s="192">
        <f t="shared" si="3"/>
        <v>100</v>
      </c>
      <c r="U46" s="202">
        <f t="shared" si="4"/>
        <v>0</v>
      </c>
      <c r="V46" s="195">
        <f t="shared" si="10"/>
        <v>100</v>
      </c>
      <c r="W46" s="197">
        <f t="shared" si="5"/>
        <v>0</v>
      </c>
      <c r="X46" s="192">
        <f t="shared" si="6"/>
        <v>100</v>
      </c>
      <c r="Y46" s="205">
        <f t="shared" si="7"/>
        <v>0</v>
      </c>
      <c r="Z46" s="208">
        <f t="shared" si="8"/>
        <v>76.470588235294116</v>
      </c>
      <c r="AA46" s="185">
        <f t="shared" si="9"/>
        <v>-23.529411764705884</v>
      </c>
      <c r="AB46" s="184"/>
      <c r="AC46" s="181"/>
      <c r="AD46" s="180"/>
      <c r="AE46" s="180"/>
      <c r="AF46" s="180"/>
      <c r="AG46" s="180"/>
    </row>
    <row r="47" spans="1:33" ht="22.5" x14ac:dyDescent="0.2">
      <c r="A47" s="169" t="s">
        <v>45</v>
      </c>
      <c r="B47" s="163">
        <v>491</v>
      </c>
      <c r="C47" s="163">
        <v>33</v>
      </c>
      <c r="D47" s="163">
        <v>6</v>
      </c>
      <c r="E47" s="163">
        <v>0</v>
      </c>
      <c r="F47" s="163">
        <v>452</v>
      </c>
      <c r="G47" s="163">
        <v>29</v>
      </c>
      <c r="H47" s="163">
        <v>423</v>
      </c>
      <c r="I47" s="9">
        <v>466</v>
      </c>
      <c r="J47" s="9">
        <v>32</v>
      </c>
      <c r="K47" s="31">
        <v>0</v>
      </c>
      <c r="L47" s="9">
        <v>6</v>
      </c>
      <c r="M47" s="31">
        <v>0</v>
      </c>
      <c r="N47" s="173">
        <f t="shared" si="0"/>
        <v>428</v>
      </c>
      <c r="O47" s="9">
        <v>29</v>
      </c>
      <c r="P47" s="176">
        <v>399</v>
      </c>
      <c r="Q47" s="190" t="s">
        <v>45</v>
      </c>
      <c r="R47" s="195">
        <f t="shared" si="1"/>
        <v>94.908350305498985</v>
      </c>
      <c r="S47" s="196">
        <f t="shared" si="2"/>
        <v>-5.0916496945010152</v>
      </c>
      <c r="T47" s="192">
        <f t="shared" si="3"/>
        <v>96.969696969696969</v>
      </c>
      <c r="U47" s="201">
        <f t="shared" si="4"/>
        <v>-3.0303030303030312</v>
      </c>
      <c r="V47" s="195">
        <f t="shared" si="10"/>
        <v>100</v>
      </c>
      <c r="W47" s="197">
        <f t="shared" si="5"/>
        <v>0</v>
      </c>
      <c r="X47" s="192">
        <f t="shared" si="6"/>
        <v>100</v>
      </c>
      <c r="Y47" s="205">
        <f t="shared" si="7"/>
        <v>0</v>
      </c>
      <c r="Z47" s="208">
        <f t="shared" si="8"/>
        <v>94.326241134751768</v>
      </c>
      <c r="AA47" s="185">
        <f t="shared" si="9"/>
        <v>-5.6737588652482316</v>
      </c>
      <c r="AB47" s="184"/>
      <c r="AC47" s="181"/>
      <c r="AD47" s="180"/>
      <c r="AE47" s="180"/>
      <c r="AF47" s="180"/>
      <c r="AG47" s="180"/>
    </row>
    <row r="48" spans="1:33" ht="23.25" thickBot="1" x14ac:dyDescent="0.25">
      <c r="A48" s="169" t="s">
        <v>46</v>
      </c>
      <c r="B48" s="163">
        <v>463</v>
      </c>
      <c r="C48" s="163">
        <v>43</v>
      </c>
      <c r="D48" s="163">
        <v>12</v>
      </c>
      <c r="E48" s="163">
        <v>0</v>
      </c>
      <c r="F48" s="163">
        <v>408</v>
      </c>
      <c r="G48" s="163">
        <v>18</v>
      </c>
      <c r="H48" s="163">
        <v>390</v>
      </c>
      <c r="I48" s="9">
        <v>463</v>
      </c>
      <c r="J48" s="9">
        <v>43</v>
      </c>
      <c r="K48" s="31">
        <v>0</v>
      </c>
      <c r="L48" s="9">
        <v>12</v>
      </c>
      <c r="M48" s="31">
        <v>0</v>
      </c>
      <c r="N48" s="173">
        <f t="shared" si="0"/>
        <v>408</v>
      </c>
      <c r="O48" s="9">
        <v>17</v>
      </c>
      <c r="P48" s="176">
        <v>391</v>
      </c>
      <c r="Q48" s="223" t="s">
        <v>46</v>
      </c>
      <c r="R48" s="224">
        <f t="shared" si="1"/>
        <v>100</v>
      </c>
      <c r="S48" s="233">
        <f t="shared" si="2"/>
        <v>0</v>
      </c>
      <c r="T48" s="234">
        <f t="shared" si="3"/>
        <v>100</v>
      </c>
      <c r="U48" s="235">
        <f t="shared" si="4"/>
        <v>0</v>
      </c>
      <c r="V48" s="224">
        <f t="shared" si="10"/>
        <v>100</v>
      </c>
      <c r="W48" s="233">
        <f t="shared" si="5"/>
        <v>0</v>
      </c>
      <c r="X48" s="234">
        <f t="shared" si="6"/>
        <v>94.444444444444443</v>
      </c>
      <c r="Y48" s="236">
        <f t="shared" si="7"/>
        <v>-5.5555555555555571</v>
      </c>
      <c r="Z48" s="237">
        <f t="shared" si="8"/>
        <v>100.25641025641026</v>
      </c>
      <c r="AA48" s="238">
        <f t="shared" si="9"/>
        <v>0.2564102564102626</v>
      </c>
      <c r="AB48" s="184"/>
      <c r="AC48" s="181"/>
      <c r="AD48" s="180"/>
      <c r="AE48" s="180"/>
      <c r="AF48" s="180"/>
      <c r="AG48" s="180"/>
    </row>
    <row r="49" spans="1:33" ht="46.5" thickTop="1" x14ac:dyDescent="0.25">
      <c r="A49" s="167" t="s">
        <v>195</v>
      </c>
      <c r="B49" s="168">
        <v>1702</v>
      </c>
      <c r="C49" s="168">
        <v>116</v>
      </c>
      <c r="D49" s="168">
        <v>30</v>
      </c>
      <c r="E49" s="163">
        <v>0</v>
      </c>
      <c r="F49" s="168">
        <v>1556</v>
      </c>
      <c r="G49" s="168">
        <v>41</v>
      </c>
      <c r="H49" s="168">
        <v>1515</v>
      </c>
      <c r="I49" s="7">
        <v>1584</v>
      </c>
      <c r="J49" s="7">
        <v>104</v>
      </c>
      <c r="K49" s="31">
        <v>0</v>
      </c>
      <c r="L49" s="7">
        <v>39</v>
      </c>
      <c r="M49" s="7">
        <v>1</v>
      </c>
      <c r="N49" s="173">
        <f t="shared" si="0"/>
        <v>1437</v>
      </c>
      <c r="O49" s="7">
        <v>30</v>
      </c>
      <c r="P49" s="175">
        <v>1407</v>
      </c>
      <c r="Q49" s="210" t="s">
        <v>234</v>
      </c>
      <c r="R49" s="211">
        <f t="shared" si="1"/>
        <v>93.06698002350177</v>
      </c>
      <c r="S49" s="212">
        <f t="shared" si="2"/>
        <v>-6.9330199764982297</v>
      </c>
      <c r="T49" s="213">
        <f t="shared" si="3"/>
        <v>89.65517241379311</v>
      </c>
      <c r="U49" s="214">
        <f t="shared" si="4"/>
        <v>-10.34482758620689</v>
      </c>
      <c r="V49" s="211">
        <f t="shared" si="10"/>
        <v>130</v>
      </c>
      <c r="W49" s="215">
        <f t="shared" si="5"/>
        <v>30</v>
      </c>
      <c r="X49" s="213">
        <f t="shared" si="6"/>
        <v>73.170731707317074</v>
      </c>
      <c r="Y49" s="214">
        <f t="shared" si="7"/>
        <v>-26.829268292682926</v>
      </c>
      <c r="Z49" s="211">
        <f t="shared" si="8"/>
        <v>92.871287128712865</v>
      </c>
      <c r="AA49" s="212">
        <f t="shared" si="9"/>
        <v>-7.128712871287135</v>
      </c>
      <c r="AB49" s="184"/>
      <c r="AC49" s="181"/>
      <c r="AD49" s="182"/>
      <c r="AE49" s="180"/>
      <c r="AF49" s="180"/>
      <c r="AG49" s="180"/>
    </row>
    <row r="50" spans="1:33" ht="22.5" x14ac:dyDescent="0.2">
      <c r="A50" s="169" t="s">
        <v>48</v>
      </c>
      <c r="B50" s="163">
        <v>757</v>
      </c>
      <c r="C50" s="163">
        <v>41</v>
      </c>
      <c r="D50" s="163">
        <v>10</v>
      </c>
      <c r="E50" s="163">
        <v>0</v>
      </c>
      <c r="F50" s="163">
        <v>706</v>
      </c>
      <c r="G50" s="163">
        <v>8</v>
      </c>
      <c r="H50" s="163">
        <v>698</v>
      </c>
      <c r="I50" s="9">
        <v>761</v>
      </c>
      <c r="J50" s="9">
        <v>41</v>
      </c>
      <c r="K50" s="31">
        <v>0</v>
      </c>
      <c r="L50" s="9">
        <v>9</v>
      </c>
      <c r="M50" s="9">
        <v>1</v>
      </c>
      <c r="N50" s="173">
        <f t="shared" si="0"/>
        <v>707</v>
      </c>
      <c r="O50" s="9">
        <v>7</v>
      </c>
      <c r="P50" s="176">
        <v>700</v>
      </c>
      <c r="Q50" s="190" t="s">
        <v>48</v>
      </c>
      <c r="R50" s="195">
        <f t="shared" si="1"/>
        <v>100.52840158520475</v>
      </c>
      <c r="S50" s="198">
        <f t="shared" si="2"/>
        <v>0.52840158520474745</v>
      </c>
      <c r="T50" s="192">
        <f t="shared" si="3"/>
        <v>100</v>
      </c>
      <c r="U50" s="202">
        <f t="shared" si="4"/>
        <v>0</v>
      </c>
      <c r="V50" s="195">
        <f t="shared" si="10"/>
        <v>90</v>
      </c>
      <c r="W50" s="196">
        <f t="shared" si="5"/>
        <v>-10</v>
      </c>
      <c r="X50" s="192">
        <f t="shared" si="6"/>
        <v>87.5</v>
      </c>
      <c r="Y50" s="201">
        <f t="shared" si="7"/>
        <v>-12.5</v>
      </c>
      <c r="Z50" s="208">
        <f t="shared" si="8"/>
        <v>100.28653295128939</v>
      </c>
      <c r="AA50" s="187">
        <f t="shared" si="9"/>
        <v>0.28653295128938794</v>
      </c>
      <c r="AB50" s="184"/>
      <c r="AC50" s="181"/>
      <c r="AD50" s="180"/>
      <c r="AE50" s="180"/>
      <c r="AF50" s="180"/>
      <c r="AG50" s="180"/>
    </row>
    <row r="51" spans="1:33" ht="22.5" x14ac:dyDescent="0.2">
      <c r="A51" s="169" t="s">
        <v>97</v>
      </c>
      <c r="B51" s="163">
        <v>46</v>
      </c>
      <c r="C51" s="163">
        <v>4</v>
      </c>
      <c r="D51" s="163">
        <v>4</v>
      </c>
      <c r="E51" s="163">
        <v>0</v>
      </c>
      <c r="F51" s="163">
        <v>38</v>
      </c>
      <c r="G51" s="163">
        <v>0</v>
      </c>
      <c r="H51" s="163">
        <v>38</v>
      </c>
      <c r="I51" s="9">
        <v>45</v>
      </c>
      <c r="J51" s="9">
        <v>4</v>
      </c>
      <c r="K51" s="31">
        <v>0</v>
      </c>
      <c r="L51" s="9">
        <v>5</v>
      </c>
      <c r="M51" s="31">
        <v>0</v>
      </c>
      <c r="N51" s="173">
        <f t="shared" si="0"/>
        <v>36</v>
      </c>
      <c r="O51" s="29">
        <v>0</v>
      </c>
      <c r="P51" s="176">
        <v>36</v>
      </c>
      <c r="Q51" s="190" t="s">
        <v>97</v>
      </c>
      <c r="R51" s="195">
        <f t="shared" si="1"/>
        <v>97.826086956521735</v>
      </c>
      <c r="S51" s="196">
        <f t="shared" si="2"/>
        <v>-2.1739130434782652</v>
      </c>
      <c r="T51" s="192">
        <f t="shared" si="3"/>
        <v>100</v>
      </c>
      <c r="U51" s="202">
        <f t="shared" si="4"/>
        <v>0</v>
      </c>
      <c r="V51" s="195">
        <f t="shared" si="10"/>
        <v>125</v>
      </c>
      <c r="W51" s="198">
        <f t="shared" si="5"/>
        <v>25</v>
      </c>
      <c r="X51" s="193" t="s">
        <v>238</v>
      </c>
      <c r="Y51" s="206"/>
      <c r="Z51" s="208">
        <f t="shared" si="8"/>
        <v>94.73684210526315</v>
      </c>
      <c r="AA51" s="185">
        <f t="shared" si="9"/>
        <v>-5.2631578947368496</v>
      </c>
      <c r="AB51" s="184"/>
      <c r="AC51" s="181"/>
      <c r="AD51" s="180"/>
      <c r="AE51" s="180"/>
      <c r="AF51" s="180"/>
      <c r="AG51" s="180"/>
    </row>
    <row r="52" spans="1:33" ht="33.75" x14ac:dyDescent="0.2">
      <c r="A52" s="169" t="s">
        <v>49</v>
      </c>
      <c r="B52" s="163">
        <v>132</v>
      </c>
      <c r="C52" s="163">
        <v>10</v>
      </c>
      <c r="D52" s="163">
        <v>3</v>
      </c>
      <c r="E52" s="163">
        <v>0</v>
      </c>
      <c r="F52" s="163">
        <v>119</v>
      </c>
      <c r="G52" s="163">
        <v>7</v>
      </c>
      <c r="H52" s="163">
        <v>112</v>
      </c>
      <c r="I52" s="9">
        <v>132</v>
      </c>
      <c r="J52" s="9">
        <v>10</v>
      </c>
      <c r="K52" s="31">
        <v>0</v>
      </c>
      <c r="L52" s="9">
        <v>3</v>
      </c>
      <c r="M52" s="31">
        <v>0</v>
      </c>
      <c r="N52" s="173">
        <f t="shared" si="0"/>
        <v>119</v>
      </c>
      <c r="O52" s="9">
        <v>7</v>
      </c>
      <c r="P52" s="176">
        <v>112</v>
      </c>
      <c r="Q52" s="190" t="s">
        <v>49</v>
      </c>
      <c r="R52" s="195">
        <f t="shared" si="1"/>
        <v>100</v>
      </c>
      <c r="S52" s="197">
        <f t="shared" si="2"/>
        <v>0</v>
      </c>
      <c r="T52" s="192">
        <f t="shared" si="3"/>
        <v>100</v>
      </c>
      <c r="U52" s="202">
        <f t="shared" si="4"/>
        <v>0</v>
      </c>
      <c r="V52" s="195">
        <f t="shared" si="10"/>
        <v>100</v>
      </c>
      <c r="W52" s="197">
        <f t="shared" si="5"/>
        <v>0</v>
      </c>
      <c r="X52" s="192">
        <f t="shared" si="6"/>
        <v>99.999999999999986</v>
      </c>
      <c r="Y52" s="205">
        <f t="shared" si="7"/>
        <v>0</v>
      </c>
      <c r="Z52" s="208">
        <f t="shared" si="8"/>
        <v>99.999999999999986</v>
      </c>
      <c r="AA52" s="186">
        <f t="shared" si="9"/>
        <v>0</v>
      </c>
      <c r="AB52" s="184"/>
      <c r="AC52" s="181"/>
      <c r="AD52" s="180"/>
      <c r="AE52" s="180"/>
      <c r="AF52" s="180"/>
      <c r="AG52" s="180"/>
    </row>
    <row r="53" spans="1:33" ht="33.75" x14ac:dyDescent="0.2">
      <c r="A53" s="169" t="s">
        <v>50</v>
      </c>
      <c r="B53" s="163">
        <v>100</v>
      </c>
      <c r="C53" s="163">
        <v>10</v>
      </c>
      <c r="D53" s="163">
        <v>2</v>
      </c>
      <c r="E53" s="163">
        <v>0</v>
      </c>
      <c r="F53" s="163">
        <v>88</v>
      </c>
      <c r="G53" s="163">
        <v>5</v>
      </c>
      <c r="H53" s="163">
        <v>83</v>
      </c>
      <c r="I53" s="9">
        <v>100</v>
      </c>
      <c r="J53" s="9">
        <v>10</v>
      </c>
      <c r="K53" s="31">
        <v>0</v>
      </c>
      <c r="L53" s="9">
        <v>2</v>
      </c>
      <c r="M53" s="31">
        <v>0</v>
      </c>
      <c r="N53" s="173">
        <f t="shared" si="0"/>
        <v>88</v>
      </c>
      <c r="O53" s="9">
        <v>5</v>
      </c>
      <c r="P53" s="176">
        <v>83</v>
      </c>
      <c r="Q53" s="190" t="s">
        <v>50</v>
      </c>
      <c r="R53" s="195">
        <f t="shared" si="1"/>
        <v>100</v>
      </c>
      <c r="S53" s="197">
        <f t="shared" si="2"/>
        <v>0</v>
      </c>
      <c r="T53" s="192">
        <f t="shared" si="3"/>
        <v>100</v>
      </c>
      <c r="U53" s="202">
        <f t="shared" si="4"/>
        <v>0</v>
      </c>
      <c r="V53" s="195">
        <f t="shared" si="10"/>
        <v>100</v>
      </c>
      <c r="W53" s="197">
        <f t="shared" si="5"/>
        <v>0</v>
      </c>
      <c r="X53" s="192">
        <f t="shared" si="6"/>
        <v>100</v>
      </c>
      <c r="Y53" s="205">
        <f t="shared" si="7"/>
        <v>0</v>
      </c>
      <c r="Z53" s="208">
        <f t="shared" si="8"/>
        <v>100</v>
      </c>
      <c r="AA53" s="186">
        <f t="shared" si="9"/>
        <v>0</v>
      </c>
      <c r="AB53" s="184"/>
      <c r="AC53" s="181"/>
      <c r="AD53" s="180"/>
      <c r="AE53" s="180"/>
      <c r="AF53" s="180"/>
      <c r="AG53" s="180"/>
    </row>
    <row r="54" spans="1:33" ht="33.75" x14ac:dyDescent="0.2">
      <c r="A54" s="169" t="s">
        <v>196</v>
      </c>
      <c r="B54" s="163">
        <v>114</v>
      </c>
      <c r="C54" s="163">
        <v>8</v>
      </c>
      <c r="D54" s="163">
        <v>1</v>
      </c>
      <c r="E54" s="163">
        <v>0</v>
      </c>
      <c r="F54" s="163">
        <v>105</v>
      </c>
      <c r="G54" s="163">
        <v>5</v>
      </c>
      <c r="H54" s="163">
        <v>100</v>
      </c>
      <c r="I54" s="9">
        <v>111</v>
      </c>
      <c r="J54" s="9">
        <v>8</v>
      </c>
      <c r="K54" s="31">
        <v>0</v>
      </c>
      <c r="L54" s="9">
        <v>1</v>
      </c>
      <c r="M54" s="31">
        <v>0</v>
      </c>
      <c r="N54" s="173">
        <f t="shared" si="0"/>
        <v>102</v>
      </c>
      <c r="O54" s="9">
        <v>5</v>
      </c>
      <c r="P54" s="176">
        <v>97</v>
      </c>
      <c r="Q54" s="190" t="s">
        <v>196</v>
      </c>
      <c r="R54" s="195">
        <f t="shared" si="1"/>
        <v>97.368421052631589</v>
      </c>
      <c r="S54" s="196">
        <f t="shared" si="2"/>
        <v>-2.6315789473684106</v>
      </c>
      <c r="T54" s="192">
        <f t="shared" si="3"/>
        <v>100</v>
      </c>
      <c r="U54" s="202">
        <f t="shared" si="4"/>
        <v>0</v>
      </c>
      <c r="V54" s="195">
        <f t="shared" si="10"/>
        <v>100</v>
      </c>
      <c r="W54" s="197">
        <f t="shared" si="5"/>
        <v>0</v>
      </c>
      <c r="X54" s="192">
        <f t="shared" si="6"/>
        <v>100</v>
      </c>
      <c r="Y54" s="205">
        <f t="shared" si="7"/>
        <v>0</v>
      </c>
      <c r="Z54" s="208">
        <f t="shared" si="8"/>
        <v>97</v>
      </c>
      <c r="AA54" s="185">
        <f t="shared" si="9"/>
        <v>-3</v>
      </c>
      <c r="AB54" s="184"/>
      <c r="AC54" s="181"/>
      <c r="AD54" s="180"/>
      <c r="AE54" s="180"/>
      <c r="AF54" s="180"/>
      <c r="AG54" s="180"/>
    </row>
    <row r="55" spans="1:33" ht="22.5" x14ac:dyDescent="0.2">
      <c r="A55" s="169" t="s">
        <v>98</v>
      </c>
      <c r="B55" s="163">
        <v>223</v>
      </c>
      <c r="C55" s="163">
        <v>17</v>
      </c>
      <c r="D55" s="163">
        <v>1</v>
      </c>
      <c r="E55" s="163">
        <v>0</v>
      </c>
      <c r="F55" s="163">
        <v>205</v>
      </c>
      <c r="G55" s="163">
        <v>2</v>
      </c>
      <c r="H55" s="163">
        <v>203</v>
      </c>
      <c r="I55" s="9">
        <v>234</v>
      </c>
      <c r="J55" s="9">
        <v>15</v>
      </c>
      <c r="K55" s="31">
        <v>0</v>
      </c>
      <c r="L55" s="9">
        <v>2</v>
      </c>
      <c r="M55" s="31">
        <v>0</v>
      </c>
      <c r="N55" s="173">
        <f t="shared" si="0"/>
        <v>217</v>
      </c>
      <c r="O55" s="9">
        <v>4</v>
      </c>
      <c r="P55" s="176">
        <v>213</v>
      </c>
      <c r="Q55" s="190" t="s">
        <v>98</v>
      </c>
      <c r="R55" s="195">
        <f t="shared" si="1"/>
        <v>104.93273542600897</v>
      </c>
      <c r="S55" s="198">
        <f t="shared" si="2"/>
        <v>4.9327354260089749</v>
      </c>
      <c r="T55" s="192">
        <f t="shared" si="3"/>
        <v>88.235294117647058</v>
      </c>
      <c r="U55" s="201">
        <f t="shared" si="4"/>
        <v>-11.764705882352942</v>
      </c>
      <c r="V55" s="195">
        <f t="shared" si="10"/>
        <v>200</v>
      </c>
      <c r="W55" s="198">
        <f t="shared" si="5"/>
        <v>100</v>
      </c>
      <c r="X55" s="192">
        <f t="shared" si="6"/>
        <v>200</v>
      </c>
      <c r="Y55" s="207">
        <f t="shared" si="7"/>
        <v>100</v>
      </c>
      <c r="Z55" s="208">
        <f t="shared" si="8"/>
        <v>104.92610837438424</v>
      </c>
      <c r="AA55" s="187">
        <f t="shared" si="9"/>
        <v>4.926108374384242</v>
      </c>
      <c r="AB55" s="184"/>
      <c r="AC55" s="181"/>
      <c r="AD55" s="180"/>
      <c r="AE55" s="180"/>
      <c r="AF55" s="180"/>
      <c r="AG55" s="180"/>
    </row>
    <row r="56" spans="1:33" ht="23.25" thickBot="1" x14ac:dyDescent="0.25">
      <c r="A56" s="169" t="s">
        <v>52</v>
      </c>
      <c r="B56" s="163">
        <v>330</v>
      </c>
      <c r="C56" s="163">
        <v>26</v>
      </c>
      <c r="D56" s="163">
        <v>9</v>
      </c>
      <c r="E56" s="163">
        <v>0</v>
      </c>
      <c r="F56" s="163">
        <v>295</v>
      </c>
      <c r="G56" s="163">
        <v>14</v>
      </c>
      <c r="H56" s="163">
        <v>281</v>
      </c>
      <c r="I56" s="9">
        <v>201</v>
      </c>
      <c r="J56" s="9">
        <v>16</v>
      </c>
      <c r="K56" s="31">
        <v>0</v>
      </c>
      <c r="L56" s="9">
        <v>17</v>
      </c>
      <c r="M56" s="31">
        <v>0</v>
      </c>
      <c r="N56" s="173">
        <f t="shared" si="0"/>
        <v>168</v>
      </c>
      <c r="O56" s="9">
        <v>2</v>
      </c>
      <c r="P56" s="176">
        <v>166</v>
      </c>
      <c r="Q56" s="223" t="s">
        <v>52</v>
      </c>
      <c r="R56" s="224">
        <f t="shared" si="1"/>
        <v>60.909090909090914</v>
      </c>
      <c r="S56" s="240">
        <f t="shared" si="2"/>
        <v>-39.090909090909086</v>
      </c>
      <c r="T56" s="234">
        <f t="shared" si="3"/>
        <v>61.538461538461533</v>
      </c>
      <c r="U56" s="236">
        <f t="shared" si="4"/>
        <v>-38.461538461538467</v>
      </c>
      <c r="V56" s="224">
        <f t="shared" si="10"/>
        <v>188.88888888888889</v>
      </c>
      <c r="W56" s="225">
        <f t="shared" si="5"/>
        <v>88.888888888888886</v>
      </c>
      <c r="X56" s="234">
        <f t="shared" si="6"/>
        <v>14.285714285714285</v>
      </c>
      <c r="Y56" s="236">
        <f t="shared" si="7"/>
        <v>-85.714285714285722</v>
      </c>
      <c r="Z56" s="237">
        <f t="shared" si="8"/>
        <v>59.07473309608541</v>
      </c>
      <c r="AA56" s="241">
        <f t="shared" si="9"/>
        <v>-40.92526690391459</v>
      </c>
      <c r="AB56" s="184"/>
      <c r="AC56" s="181"/>
      <c r="AD56" s="180"/>
      <c r="AE56" s="180"/>
      <c r="AF56" s="180"/>
      <c r="AG56" s="180"/>
    </row>
    <row r="57" spans="1:33" ht="35.25" thickTop="1" x14ac:dyDescent="0.25">
      <c r="A57" s="167" t="s">
        <v>197</v>
      </c>
      <c r="B57" s="168">
        <v>6359</v>
      </c>
      <c r="C57" s="168">
        <v>456</v>
      </c>
      <c r="D57" s="168">
        <v>70</v>
      </c>
      <c r="E57" s="163">
        <v>0</v>
      </c>
      <c r="F57" s="168">
        <v>5833</v>
      </c>
      <c r="G57" s="168">
        <v>369</v>
      </c>
      <c r="H57" s="168">
        <v>5464</v>
      </c>
      <c r="I57" s="7">
        <v>5441</v>
      </c>
      <c r="J57" s="7">
        <v>404</v>
      </c>
      <c r="K57" s="7">
        <v>13</v>
      </c>
      <c r="L57" s="7">
        <v>104</v>
      </c>
      <c r="M57" s="7">
        <v>1</v>
      </c>
      <c r="N57" s="173">
        <f t="shared" si="0"/>
        <v>4910</v>
      </c>
      <c r="O57" s="7">
        <v>302</v>
      </c>
      <c r="P57" s="175">
        <v>4608</v>
      </c>
      <c r="Q57" s="210" t="s">
        <v>233</v>
      </c>
      <c r="R57" s="211">
        <f t="shared" si="1"/>
        <v>85.5637678880327</v>
      </c>
      <c r="S57" s="212">
        <f t="shared" si="2"/>
        <v>-14.4362321119673</v>
      </c>
      <c r="T57" s="213">
        <f t="shared" si="3"/>
        <v>88.596491228070178</v>
      </c>
      <c r="U57" s="214">
        <f t="shared" si="4"/>
        <v>-11.403508771929822</v>
      </c>
      <c r="V57" s="211">
        <f t="shared" si="10"/>
        <v>148.57142857142858</v>
      </c>
      <c r="W57" s="215">
        <f t="shared" si="5"/>
        <v>48.571428571428584</v>
      </c>
      <c r="X57" s="213">
        <f t="shared" si="6"/>
        <v>81.842818428184287</v>
      </c>
      <c r="Y57" s="214">
        <f t="shared" si="7"/>
        <v>-18.157181571815713</v>
      </c>
      <c r="Z57" s="211">
        <f t="shared" si="8"/>
        <v>84.333821376281108</v>
      </c>
      <c r="AA57" s="239">
        <f t="shared" si="9"/>
        <v>-15.666178623718892</v>
      </c>
      <c r="AB57" s="184"/>
      <c r="AC57" s="181"/>
      <c r="AD57" s="180"/>
      <c r="AE57" s="180"/>
      <c r="AF57" s="180"/>
      <c r="AG57" s="180"/>
    </row>
    <row r="58" spans="1:33" ht="33" customHeight="1" x14ac:dyDescent="0.2">
      <c r="A58" s="169" t="s">
        <v>54</v>
      </c>
      <c r="B58" s="163">
        <v>895</v>
      </c>
      <c r="C58" s="163">
        <v>54</v>
      </c>
      <c r="D58" s="163">
        <v>9</v>
      </c>
      <c r="E58" s="163">
        <v>0</v>
      </c>
      <c r="F58" s="163">
        <v>832</v>
      </c>
      <c r="G58" s="163">
        <v>14</v>
      </c>
      <c r="H58" s="163">
        <v>818</v>
      </c>
      <c r="I58" s="9">
        <v>895</v>
      </c>
      <c r="J58" s="9">
        <v>54</v>
      </c>
      <c r="K58" s="31">
        <v>0</v>
      </c>
      <c r="L58" s="9">
        <v>9</v>
      </c>
      <c r="M58" s="31">
        <v>0</v>
      </c>
      <c r="N58" s="173">
        <f t="shared" si="0"/>
        <v>832</v>
      </c>
      <c r="O58" s="9">
        <v>14</v>
      </c>
      <c r="P58" s="176">
        <v>818</v>
      </c>
      <c r="Q58" s="190" t="s">
        <v>54</v>
      </c>
      <c r="R58" s="195">
        <f t="shared" si="1"/>
        <v>100.00000000000001</v>
      </c>
      <c r="S58" s="197">
        <f t="shared" si="2"/>
        <v>0</v>
      </c>
      <c r="T58" s="192">
        <f t="shared" si="3"/>
        <v>100</v>
      </c>
      <c r="U58" s="202">
        <f t="shared" si="4"/>
        <v>0</v>
      </c>
      <c r="V58" s="195">
        <f t="shared" si="10"/>
        <v>100</v>
      </c>
      <c r="W58" s="197">
        <f t="shared" si="5"/>
        <v>0</v>
      </c>
      <c r="X58" s="192">
        <f t="shared" si="6"/>
        <v>99.999999999999986</v>
      </c>
      <c r="Y58" s="205">
        <f t="shared" si="7"/>
        <v>0</v>
      </c>
      <c r="Z58" s="208">
        <f t="shared" si="8"/>
        <v>100</v>
      </c>
      <c r="AA58" s="186">
        <f t="shared" si="9"/>
        <v>0</v>
      </c>
      <c r="AB58" s="184"/>
      <c r="AC58" s="181"/>
      <c r="AD58" s="180"/>
      <c r="AE58" s="180"/>
      <c r="AF58" s="180"/>
      <c r="AG58" s="180"/>
    </row>
    <row r="59" spans="1:33" ht="22.5" x14ac:dyDescent="0.2">
      <c r="A59" s="169" t="s">
        <v>55</v>
      </c>
      <c r="B59" s="163">
        <v>149</v>
      </c>
      <c r="C59" s="163">
        <v>14</v>
      </c>
      <c r="D59" s="163">
        <v>3</v>
      </c>
      <c r="E59" s="163">
        <v>0</v>
      </c>
      <c r="F59" s="163">
        <v>132</v>
      </c>
      <c r="G59" s="163">
        <v>16</v>
      </c>
      <c r="H59" s="163">
        <v>116</v>
      </c>
      <c r="I59" s="9">
        <v>138</v>
      </c>
      <c r="J59" s="9">
        <v>14</v>
      </c>
      <c r="K59" s="31">
        <v>0</v>
      </c>
      <c r="L59" s="9">
        <v>3</v>
      </c>
      <c r="M59" s="31">
        <v>0</v>
      </c>
      <c r="N59" s="173">
        <f t="shared" si="0"/>
        <v>121</v>
      </c>
      <c r="O59" s="9">
        <v>16</v>
      </c>
      <c r="P59" s="176">
        <v>105</v>
      </c>
      <c r="Q59" s="190" t="s">
        <v>55</v>
      </c>
      <c r="R59" s="195">
        <f t="shared" si="1"/>
        <v>92.617449664429529</v>
      </c>
      <c r="S59" s="196">
        <f t="shared" si="2"/>
        <v>-7.3825503355704711</v>
      </c>
      <c r="T59" s="192">
        <f t="shared" si="3"/>
        <v>99.999999999999986</v>
      </c>
      <c r="U59" s="202">
        <f t="shared" si="4"/>
        <v>0</v>
      </c>
      <c r="V59" s="195">
        <f t="shared" si="10"/>
        <v>100</v>
      </c>
      <c r="W59" s="197">
        <f t="shared" si="5"/>
        <v>0</v>
      </c>
      <c r="X59" s="192">
        <f t="shared" si="6"/>
        <v>100</v>
      </c>
      <c r="Y59" s="205">
        <f t="shared" si="7"/>
        <v>0</v>
      </c>
      <c r="Z59" s="208">
        <f t="shared" si="8"/>
        <v>90.517241379310349</v>
      </c>
      <c r="AA59" s="188">
        <f t="shared" si="9"/>
        <v>-9.4827586206896513</v>
      </c>
      <c r="AB59" s="184"/>
      <c r="AC59" s="181"/>
      <c r="AD59" s="180"/>
      <c r="AE59" s="180"/>
      <c r="AF59" s="180"/>
      <c r="AG59" s="180"/>
    </row>
    <row r="60" spans="1:33" ht="22.5" x14ac:dyDescent="0.2">
      <c r="A60" s="169" t="s">
        <v>56</v>
      </c>
      <c r="B60" s="163">
        <v>415</v>
      </c>
      <c r="C60" s="163">
        <v>22</v>
      </c>
      <c r="D60" s="163">
        <v>1</v>
      </c>
      <c r="E60" s="163">
        <v>0</v>
      </c>
      <c r="F60" s="163">
        <v>392</v>
      </c>
      <c r="G60" s="163">
        <v>17</v>
      </c>
      <c r="H60" s="163">
        <v>375</v>
      </c>
      <c r="I60" s="9">
        <v>295</v>
      </c>
      <c r="J60" s="9">
        <v>22</v>
      </c>
      <c r="K60" s="31">
        <v>0</v>
      </c>
      <c r="L60" s="9">
        <v>1</v>
      </c>
      <c r="M60" s="31">
        <v>0</v>
      </c>
      <c r="N60" s="173">
        <f t="shared" si="0"/>
        <v>272</v>
      </c>
      <c r="O60" s="9">
        <v>16</v>
      </c>
      <c r="P60" s="176">
        <v>256</v>
      </c>
      <c r="Q60" s="190" t="s">
        <v>56</v>
      </c>
      <c r="R60" s="195">
        <f t="shared" si="1"/>
        <v>71.084337349397586</v>
      </c>
      <c r="S60" s="196">
        <f t="shared" si="2"/>
        <v>-28.915662650602414</v>
      </c>
      <c r="T60" s="192">
        <f t="shared" si="3"/>
        <v>100</v>
      </c>
      <c r="U60" s="202">
        <f t="shared" si="4"/>
        <v>0</v>
      </c>
      <c r="V60" s="195">
        <f t="shared" si="10"/>
        <v>100</v>
      </c>
      <c r="W60" s="197">
        <f t="shared" si="5"/>
        <v>0</v>
      </c>
      <c r="X60" s="192">
        <f t="shared" si="6"/>
        <v>94.117647058823522</v>
      </c>
      <c r="Y60" s="201">
        <f t="shared" si="7"/>
        <v>-5.8823529411764781</v>
      </c>
      <c r="Z60" s="208">
        <f t="shared" si="8"/>
        <v>68.266666666666666</v>
      </c>
      <c r="AA60" s="188">
        <f t="shared" si="9"/>
        <v>-31.733333333333334</v>
      </c>
      <c r="AB60" s="184"/>
      <c r="AC60" s="181"/>
      <c r="AD60" s="180"/>
      <c r="AE60" s="180"/>
      <c r="AF60" s="180"/>
      <c r="AG60" s="180"/>
    </row>
    <row r="61" spans="1:33" ht="22.5" x14ac:dyDescent="0.2">
      <c r="A61" s="169" t="s">
        <v>100</v>
      </c>
      <c r="B61" s="163">
        <v>999</v>
      </c>
      <c r="C61" s="163">
        <v>43</v>
      </c>
      <c r="D61" s="163">
        <v>2</v>
      </c>
      <c r="E61" s="163">
        <v>0</v>
      </c>
      <c r="F61" s="163">
        <v>954</v>
      </c>
      <c r="G61" s="163">
        <v>38</v>
      </c>
      <c r="H61" s="163">
        <v>916</v>
      </c>
      <c r="I61" s="9">
        <v>956</v>
      </c>
      <c r="J61" s="9">
        <v>43</v>
      </c>
      <c r="K61" s="31">
        <v>0</v>
      </c>
      <c r="L61" s="9">
        <v>2</v>
      </c>
      <c r="M61" s="31">
        <v>0</v>
      </c>
      <c r="N61" s="173">
        <f t="shared" si="0"/>
        <v>911</v>
      </c>
      <c r="O61" s="9">
        <v>39</v>
      </c>
      <c r="P61" s="176">
        <v>872</v>
      </c>
      <c r="Q61" s="190" t="s">
        <v>100</v>
      </c>
      <c r="R61" s="195">
        <f t="shared" si="1"/>
        <v>95.69569569569569</v>
      </c>
      <c r="S61" s="196">
        <f t="shared" si="2"/>
        <v>-4.3043043043043099</v>
      </c>
      <c r="T61" s="192">
        <f t="shared" si="3"/>
        <v>100</v>
      </c>
      <c r="U61" s="202">
        <f t="shared" si="4"/>
        <v>0</v>
      </c>
      <c r="V61" s="195">
        <f t="shared" si="10"/>
        <v>100</v>
      </c>
      <c r="W61" s="197">
        <f t="shared" si="5"/>
        <v>0</v>
      </c>
      <c r="X61" s="192">
        <f t="shared" si="6"/>
        <v>102.63157894736842</v>
      </c>
      <c r="Y61" s="207">
        <f t="shared" si="7"/>
        <v>2.6315789473684248</v>
      </c>
      <c r="Z61" s="208">
        <f t="shared" si="8"/>
        <v>95.196506550218345</v>
      </c>
      <c r="AA61" s="188">
        <f t="shared" si="9"/>
        <v>-4.803493449781655</v>
      </c>
      <c r="AB61" s="184"/>
      <c r="AC61" s="181"/>
      <c r="AD61" s="180"/>
      <c r="AE61" s="180"/>
      <c r="AF61" s="180"/>
      <c r="AG61" s="180"/>
    </row>
    <row r="62" spans="1:33" ht="22.5" x14ac:dyDescent="0.2">
      <c r="A62" s="169" t="s">
        <v>57</v>
      </c>
      <c r="B62" s="163">
        <v>341</v>
      </c>
      <c r="C62" s="163">
        <v>25</v>
      </c>
      <c r="D62" s="163">
        <v>5</v>
      </c>
      <c r="E62" s="163">
        <v>0</v>
      </c>
      <c r="F62" s="163">
        <v>311</v>
      </c>
      <c r="G62" s="163">
        <v>2</v>
      </c>
      <c r="H62" s="163">
        <v>309</v>
      </c>
      <c r="I62" s="9">
        <v>333</v>
      </c>
      <c r="J62" s="9">
        <v>25</v>
      </c>
      <c r="K62" s="31">
        <v>0</v>
      </c>
      <c r="L62" s="9">
        <v>5</v>
      </c>
      <c r="M62" s="31">
        <v>0</v>
      </c>
      <c r="N62" s="173">
        <f t="shared" si="0"/>
        <v>303</v>
      </c>
      <c r="O62" s="9">
        <v>1</v>
      </c>
      <c r="P62" s="176">
        <v>302</v>
      </c>
      <c r="Q62" s="190" t="s">
        <v>57</v>
      </c>
      <c r="R62" s="195">
        <f t="shared" si="1"/>
        <v>97.653958944281527</v>
      </c>
      <c r="S62" s="196">
        <f t="shared" si="2"/>
        <v>-2.346041055718473</v>
      </c>
      <c r="T62" s="192">
        <f t="shared" si="3"/>
        <v>100</v>
      </c>
      <c r="U62" s="202">
        <f t="shared" si="4"/>
        <v>0</v>
      </c>
      <c r="V62" s="195">
        <f t="shared" si="10"/>
        <v>100</v>
      </c>
      <c r="W62" s="197">
        <f t="shared" si="5"/>
        <v>0</v>
      </c>
      <c r="X62" s="192">
        <f t="shared" si="6"/>
        <v>50</v>
      </c>
      <c r="Y62" s="201">
        <f t="shared" si="7"/>
        <v>-50</v>
      </c>
      <c r="Z62" s="208">
        <f t="shared" si="8"/>
        <v>97.734627831715216</v>
      </c>
      <c r="AA62" s="188">
        <f t="shared" si="9"/>
        <v>-2.2653721682847845</v>
      </c>
      <c r="AB62" s="184"/>
      <c r="AC62" s="181"/>
      <c r="AD62" s="180"/>
      <c r="AE62" s="180"/>
      <c r="AF62" s="180"/>
      <c r="AG62" s="180"/>
    </row>
    <row r="63" spans="1:33" ht="22.5" x14ac:dyDescent="0.2">
      <c r="A63" s="169" t="s">
        <v>99</v>
      </c>
      <c r="B63" s="163">
        <v>317</v>
      </c>
      <c r="C63" s="163">
        <v>21</v>
      </c>
      <c r="D63" s="163">
        <v>5</v>
      </c>
      <c r="E63" s="163">
        <v>0</v>
      </c>
      <c r="F63" s="163">
        <v>291</v>
      </c>
      <c r="G63" s="163">
        <v>7</v>
      </c>
      <c r="H63" s="163">
        <v>284</v>
      </c>
      <c r="I63" s="9">
        <v>317</v>
      </c>
      <c r="J63" s="9">
        <v>21</v>
      </c>
      <c r="K63" s="31">
        <v>0</v>
      </c>
      <c r="L63" s="9">
        <v>5</v>
      </c>
      <c r="M63" s="31">
        <v>0</v>
      </c>
      <c r="N63" s="173">
        <f t="shared" si="0"/>
        <v>291</v>
      </c>
      <c r="O63" s="9">
        <v>7</v>
      </c>
      <c r="P63" s="176">
        <v>284</v>
      </c>
      <c r="Q63" s="190" t="s">
        <v>99</v>
      </c>
      <c r="R63" s="195">
        <f t="shared" si="1"/>
        <v>100</v>
      </c>
      <c r="S63" s="197">
        <f t="shared" si="2"/>
        <v>0</v>
      </c>
      <c r="T63" s="192">
        <f t="shared" si="3"/>
        <v>100</v>
      </c>
      <c r="U63" s="202">
        <f t="shared" si="4"/>
        <v>0</v>
      </c>
      <c r="V63" s="195">
        <f t="shared" si="10"/>
        <v>100</v>
      </c>
      <c r="W63" s="197">
        <f t="shared" si="5"/>
        <v>0</v>
      </c>
      <c r="X63" s="192">
        <f t="shared" si="6"/>
        <v>99.999999999999986</v>
      </c>
      <c r="Y63" s="205">
        <f t="shared" si="7"/>
        <v>0</v>
      </c>
      <c r="Z63" s="208">
        <f t="shared" si="8"/>
        <v>100</v>
      </c>
      <c r="AA63" s="186">
        <f t="shared" si="9"/>
        <v>0</v>
      </c>
      <c r="AB63" s="184"/>
      <c r="AC63" s="181"/>
      <c r="AD63" s="180"/>
      <c r="AE63" s="180"/>
      <c r="AF63" s="180"/>
      <c r="AG63" s="180"/>
    </row>
    <row r="64" spans="1:33" ht="15.75" x14ac:dyDescent="0.2">
      <c r="A64" s="169" t="s">
        <v>58</v>
      </c>
      <c r="B64" s="163">
        <v>359</v>
      </c>
      <c r="C64" s="163">
        <v>42</v>
      </c>
      <c r="D64" s="163">
        <v>6</v>
      </c>
      <c r="E64" s="163">
        <v>0</v>
      </c>
      <c r="F64" s="163">
        <v>311</v>
      </c>
      <c r="G64" s="163">
        <v>32</v>
      </c>
      <c r="H64" s="163">
        <v>279</v>
      </c>
      <c r="I64" s="9">
        <v>111</v>
      </c>
      <c r="J64" s="9">
        <v>7</v>
      </c>
      <c r="K64" s="9">
        <v>13</v>
      </c>
      <c r="L64" s="9">
        <v>26</v>
      </c>
      <c r="M64" s="31">
        <v>0</v>
      </c>
      <c r="N64" s="173">
        <f t="shared" si="0"/>
        <v>65</v>
      </c>
      <c r="O64" s="29">
        <v>0</v>
      </c>
      <c r="P64" s="176">
        <v>65</v>
      </c>
      <c r="Q64" s="190" t="s">
        <v>58</v>
      </c>
      <c r="R64" s="195">
        <f t="shared" si="1"/>
        <v>30.919220055710309</v>
      </c>
      <c r="S64" s="196">
        <f t="shared" si="2"/>
        <v>-69.080779944289688</v>
      </c>
      <c r="T64" s="192">
        <f t="shared" si="3"/>
        <v>16.666666666666668</v>
      </c>
      <c r="U64" s="201">
        <f t="shared" si="4"/>
        <v>-83.333333333333329</v>
      </c>
      <c r="V64" s="195">
        <f t="shared" si="10"/>
        <v>433.33333333333337</v>
      </c>
      <c r="W64" s="198">
        <f t="shared" si="5"/>
        <v>333.33333333333337</v>
      </c>
      <c r="X64" s="192">
        <f t="shared" si="6"/>
        <v>0</v>
      </c>
      <c r="Y64" s="201">
        <f t="shared" si="7"/>
        <v>-100</v>
      </c>
      <c r="Z64" s="208">
        <f t="shared" si="8"/>
        <v>23.297491039426522</v>
      </c>
      <c r="AA64" s="188">
        <f t="shared" si="9"/>
        <v>-76.702508960573482</v>
      </c>
      <c r="AB64" s="184"/>
      <c r="AC64" s="181"/>
      <c r="AD64" s="180"/>
      <c r="AE64" s="180"/>
      <c r="AF64" s="180"/>
      <c r="AG64" s="180"/>
    </row>
    <row r="65" spans="1:33" ht="22.5" x14ac:dyDescent="0.2">
      <c r="A65" s="169" t="s">
        <v>59</v>
      </c>
      <c r="B65" s="163">
        <v>434</v>
      </c>
      <c r="C65" s="163">
        <v>39</v>
      </c>
      <c r="D65" s="163">
        <v>6</v>
      </c>
      <c r="E65" s="163">
        <v>0</v>
      </c>
      <c r="F65" s="163">
        <v>389</v>
      </c>
      <c r="G65" s="163">
        <v>53</v>
      </c>
      <c r="H65" s="163">
        <v>336</v>
      </c>
      <c r="I65" s="9">
        <v>364</v>
      </c>
      <c r="J65" s="9">
        <v>39</v>
      </c>
      <c r="K65" s="31">
        <v>0</v>
      </c>
      <c r="L65" s="9">
        <v>6</v>
      </c>
      <c r="M65" s="31">
        <v>0</v>
      </c>
      <c r="N65" s="173">
        <f t="shared" si="0"/>
        <v>319</v>
      </c>
      <c r="O65" s="9">
        <v>52</v>
      </c>
      <c r="P65" s="176">
        <v>267</v>
      </c>
      <c r="Q65" s="190" t="s">
        <v>59</v>
      </c>
      <c r="R65" s="195">
        <f t="shared" si="1"/>
        <v>83.870967741935488</v>
      </c>
      <c r="S65" s="196">
        <f t="shared" si="2"/>
        <v>-16.129032258064512</v>
      </c>
      <c r="T65" s="192">
        <f t="shared" si="3"/>
        <v>100</v>
      </c>
      <c r="U65" s="202">
        <f t="shared" si="4"/>
        <v>0</v>
      </c>
      <c r="V65" s="195">
        <f t="shared" si="10"/>
        <v>100</v>
      </c>
      <c r="W65" s="197">
        <f t="shared" si="5"/>
        <v>0</v>
      </c>
      <c r="X65" s="192">
        <f t="shared" si="6"/>
        <v>98.113207547169807</v>
      </c>
      <c r="Y65" s="201">
        <f t="shared" si="7"/>
        <v>-1.8867924528301927</v>
      </c>
      <c r="Z65" s="208">
        <f t="shared" si="8"/>
        <v>79.464285714285722</v>
      </c>
      <c r="AA65" s="188">
        <f t="shared" si="9"/>
        <v>-20.535714285714278</v>
      </c>
      <c r="AB65" s="184"/>
      <c r="AC65" s="181"/>
      <c r="AD65" s="180"/>
      <c r="AE65" s="180"/>
      <c r="AF65" s="180"/>
      <c r="AG65" s="180"/>
    </row>
    <row r="66" spans="1:33" ht="22.5" x14ac:dyDescent="0.2">
      <c r="A66" s="169" t="s">
        <v>198</v>
      </c>
      <c r="B66" s="163">
        <v>459</v>
      </c>
      <c r="C66" s="163">
        <v>48</v>
      </c>
      <c r="D66" s="163">
        <v>4</v>
      </c>
      <c r="E66" s="163">
        <v>0</v>
      </c>
      <c r="F66" s="163">
        <v>407</v>
      </c>
      <c r="G66" s="163">
        <v>77</v>
      </c>
      <c r="H66" s="163">
        <v>330</v>
      </c>
      <c r="I66" s="9">
        <v>368</v>
      </c>
      <c r="J66" s="9">
        <v>37</v>
      </c>
      <c r="K66" s="31">
        <v>0</v>
      </c>
      <c r="L66" s="9">
        <v>15</v>
      </c>
      <c r="M66" s="31">
        <v>0</v>
      </c>
      <c r="N66" s="173">
        <f t="shared" si="0"/>
        <v>316</v>
      </c>
      <c r="O66" s="9">
        <v>51</v>
      </c>
      <c r="P66" s="176">
        <v>265</v>
      </c>
      <c r="Q66" s="190" t="s">
        <v>198</v>
      </c>
      <c r="R66" s="195">
        <f t="shared" si="1"/>
        <v>80.174291938997825</v>
      </c>
      <c r="S66" s="196">
        <f t="shared" si="2"/>
        <v>-19.825708061002175</v>
      </c>
      <c r="T66" s="192">
        <f t="shared" si="3"/>
        <v>77.083333333333343</v>
      </c>
      <c r="U66" s="201">
        <f t="shared" si="4"/>
        <v>-22.916666666666657</v>
      </c>
      <c r="V66" s="195">
        <f t="shared" si="10"/>
        <v>375</v>
      </c>
      <c r="W66" s="198">
        <f t="shared" si="5"/>
        <v>275</v>
      </c>
      <c r="X66" s="192">
        <f t="shared" si="6"/>
        <v>66.233766233766232</v>
      </c>
      <c r="Y66" s="201">
        <f t="shared" si="7"/>
        <v>-33.766233766233768</v>
      </c>
      <c r="Z66" s="208">
        <f t="shared" si="8"/>
        <v>80.303030303030312</v>
      </c>
      <c r="AA66" s="188">
        <f t="shared" si="9"/>
        <v>-19.696969696969688</v>
      </c>
      <c r="AB66" s="184"/>
      <c r="AC66" s="181"/>
      <c r="AD66" s="180"/>
      <c r="AE66" s="180"/>
      <c r="AF66" s="180"/>
      <c r="AG66" s="180"/>
    </row>
    <row r="67" spans="1:33" ht="22.5" x14ac:dyDescent="0.2">
      <c r="A67" s="169" t="s">
        <v>61</v>
      </c>
      <c r="B67" s="163">
        <v>614</v>
      </c>
      <c r="C67" s="163">
        <v>35</v>
      </c>
      <c r="D67" s="163">
        <v>9</v>
      </c>
      <c r="E67" s="163">
        <v>0</v>
      </c>
      <c r="F67" s="163">
        <v>570</v>
      </c>
      <c r="G67" s="163">
        <v>4</v>
      </c>
      <c r="H67" s="163">
        <v>566</v>
      </c>
      <c r="I67" s="9">
        <v>487</v>
      </c>
      <c r="J67" s="9">
        <v>29</v>
      </c>
      <c r="K67" s="31">
        <v>0</v>
      </c>
      <c r="L67" s="9">
        <v>13</v>
      </c>
      <c r="M67" s="31">
        <v>0</v>
      </c>
      <c r="N67" s="173">
        <f t="shared" si="0"/>
        <v>445</v>
      </c>
      <c r="O67" s="29">
        <v>0</v>
      </c>
      <c r="P67" s="176">
        <v>445</v>
      </c>
      <c r="Q67" s="190" t="s">
        <v>61</v>
      </c>
      <c r="R67" s="195">
        <f t="shared" si="1"/>
        <v>79.31596091205212</v>
      </c>
      <c r="S67" s="196">
        <f t="shared" si="2"/>
        <v>-20.68403908794788</v>
      </c>
      <c r="T67" s="192">
        <f t="shared" si="3"/>
        <v>82.857142857142861</v>
      </c>
      <c r="U67" s="201">
        <f t="shared" si="4"/>
        <v>-17.142857142857139</v>
      </c>
      <c r="V67" s="195">
        <f t="shared" si="10"/>
        <v>144.44444444444446</v>
      </c>
      <c r="W67" s="198">
        <f t="shared" si="5"/>
        <v>44.444444444444457</v>
      </c>
      <c r="X67" s="192">
        <f t="shared" si="6"/>
        <v>0</v>
      </c>
      <c r="Y67" s="201">
        <f t="shared" si="7"/>
        <v>-100</v>
      </c>
      <c r="Z67" s="208">
        <f t="shared" si="8"/>
        <v>78.621908127208485</v>
      </c>
      <c r="AA67" s="188">
        <f t="shared" si="9"/>
        <v>-21.378091872791515</v>
      </c>
      <c r="AB67" s="184"/>
      <c r="AC67" s="181"/>
      <c r="AD67" s="180"/>
      <c r="AE67" s="180"/>
      <c r="AF67" s="180"/>
      <c r="AG67" s="180"/>
    </row>
    <row r="68" spans="1:33" ht="22.5" x14ac:dyDescent="0.2">
      <c r="A68" s="169" t="s">
        <v>62</v>
      </c>
      <c r="B68" s="163">
        <v>430</v>
      </c>
      <c r="C68" s="163">
        <v>27</v>
      </c>
      <c r="D68" s="163">
        <v>3</v>
      </c>
      <c r="E68" s="163">
        <v>0</v>
      </c>
      <c r="F68" s="163">
        <v>400</v>
      </c>
      <c r="G68" s="163">
        <v>24</v>
      </c>
      <c r="H68" s="163">
        <v>376</v>
      </c>
      <c r="I68" s="9">
        <v>318</v>
      </c>
      <c r="J68" s="9">
        <v>27</v>
      </c>
      <c r="K68" s="31">
        <v>0</v>
      </c>
      <c r="L68" s="9">
        <v>3</v>
      </c>
      <c r="M68" s="31">
        <v>0</v>
      </c>
      <c r="N68" s="173">
        <f t="shared" si="0"/>
        <v>288</v>
      </c>
      <c r="O68" s="9">
        <v>24</v>
      </c>
      <c r="P68" s="176">
        <v>264</v>
      </c>
      <c r="Q68" s="190" t="s">
        <v>62</v>
      </c>
      <c r="R68" s="195">
        <f t="shared" si="1"/>
        <v>73.95348837209302</v>
      </c>
      <c r="S68" s="196">
        <f t="shared" si="2"/>
        <v>-26.04651162790698</v>
      </c>
      <c r="T68" s="192">
        <f t="shared" si="3"/>
        <v>100</v>
      </c>
      <c r="U68" s="202">
        <f t="shared" si="4"/>
        <v>0</v>
      </c>
      <c r="V68" s="195">
        <f t="shared" si="10"/>
        <v>100</v>
      </c>
      <c r="W68" s="197">
        <f t="shared" si="5"/>
        <v>0</v>
      </c>
      <c r="X68" s="192">
        <f t="shared" si="6"/>
        <v>100</v>
      </c>
      <c r="Y68" s="205">
        <f t="shared" si="7"/>
        <v>0</v>
      </c>
      <c r="Z68" s="208">
        <f t="shared" si="8"/>
        <v>70.212765957446805</v>
      </c>
      <c r="AA68" s="188">
        <f t="shared" si="9"/>
        <v>-29.787234042553195</v>
      </c>
      <c r="AB68" s="184"/>
      <c r="AC68" s="181"/>
      <c r="AD68" s="180"/>
      <c r="AE68" s="180"/>
      <c r="AF68" s="180"/>
      <c r="AG68" s="180"/>
    </row>
    <row r="69" spans="1:33" ht="22.5" x14ac:dyDescent="0.2">
      <c r="A69" s="169" t="s">
        <v>63</v>
      </c>
      <c r="B69" s="163">
        <v>341</v>
      </c>
      <c r="C69" s="163">
        <v>27</v>
      </c>
      <c r="D69" s="163">
        <v>10</v>
      </c>
      <c r="E69" s="163">
        <v>0</v>
      </c>
      <c r="F69" s="163">
        <v>304</v>
      </c>
      <c r="G69" s="163">
        <v>12</v>
      </c>
      <c r="H69" s="163">
        <v>292</v>
      </c>
      <c r="I69" s="9">
        <v>342</v>
      </c>
      <c r="J69" s="9">
        <v>27</v>
      </c>
      <c r="K69" s="31">
        <v>0</v>
      </c>
      <c r="L69" s="9">
        <v>9</v>
      </c>
      <c r="M69" s="9">
        <v>1</v>
      </c>
      <c r="N69" s="173">
        <f t="shared" si="0"/>
        <v>296</v>
      </c>
      <c r="O69" s="9">
        <v>12</v>
      </c>
      <c r="P69" s="176">
        <v>284</v>
      </c>
      <c r="Q69" s="190" t="s">
        <v>63</v>
      </c>
      <c r="R69" s="195">
        <f t="shared" si="1"/>
        <v>100.2932551319648</v>
      </c>
      <c r="S69" s="198">
        <f t="shared" si="2"/>
        <v>0.29325513196479847</v>
      </c>
      <c r="T69" s="192">
        <f t="shared" si="3"/>
        <v>100</v>
      </c>
      <c r="U69" s="202">
        <f t="shared" si="4"/>
        <v>0</v>
      </c>
      <c r="V69" s="195">
        <f t="shared" si="10"/>
        <v>90</v>
      </c>
      <c r="W69" s="196">
        <f t="shared" si="5"/>
        <v>-10</v>
      </c>
      <c r="X69" s="192">
        <f t="shared" si="6"/>
        <v>100</v>
      </c>
      <c r="Y69" s="205">
        <f t="shared" si="7"/>
        <v>0</v>
      </c>
      <c r="Z69" s="208">
        <f t="shared" si="8"/>
        <v>97.260273972602747</v>
      </c>
      <c r="AA69" s="188">
        <f t="shared" si="9"/>
        <v>-2.7397260273972535</v>
      </c>
      <c r="AB69" s="184"/>
      <c r="AC69" s="181"/>
      <c r="AD69" s="180"/>
      <c r="AE69" s="180"/>
      <c r="AF69" s="180"/>
      <c r="AG69" s="180"/>
    </row>
    <row r="70" spans="1:33" ht="22.5" x14ac:dyDescent="0.2">
      <c r="A70" s="169" t="s">
        <v>64</v>
      </c>
      <c r="B70" s="163">
        <v>439</v>
      </c>
      <c r="C70" s="163">
        <v>38</v>
      </c>
      <c r="D70" s="163">
        <v>4</v>
      </c>
      <c r="E70" s="163">
        <v>0</v>
      </c>
      <c r="F70" s="163">
        <v>397</v>
      </c>
      <c r="G70" s="163">
        <v>42</v>
      </c>
      <c r="H70" s="163">
        <v>355</v>
      </c>
      <c r="I70" s="9">
        <v>350</v>
      </c>
      <c r="J70" s="9">
        <v>38</v>
      </c>
      <c r="K70" s="31">
        <v>0</v>
      </c>
      <c r="L70" s="9">
        <v>4</v>
      </c>
      <c r="M70" s="31">
        <v>0</v>
      </c>
      <c r="N70" s="173">
        <f t="shared" si="0"/>
        <v>308</v>
      </c>
      <c r="O70" s="9">
        <v>39</v>
      </c>
      <c r="P70" s="176">
        <v>269</v>
      </c>
      <c r="Q70" s="190" t="s">
        <v>64</v>
      </c>
      <c r="R70" s="195">
        <f t="shared" si="1"/>
        <v>79.726651480637813</v>
      </c>
      <c r="S70" s="196">
        <f t="shared" si="2"/>
        <v>-20.273348519362187</v>
      </c>
      <c r="T70" s="192">
        <f t="shared" si="3"/>
        <v>100</v>
      </c>
      <c r="U70" s="202">
        <f t="shared" si="4"/>
        <v>0</v>
      </c>
      <c r="V70" s="195">
        <f t="shared" si="10"/>
        <v>100</v>
      </c>
      <c r="W70" s="197">
        <f t="shared" si="5"/>
        <v>0</v>
      </c>
      <c r="X70" s="192">
        <f t="shared" si="6"/>
        <v>92.857142857142861</v>
      </c>
      <c r="Y70" s="201">
        <f t="shared" si="7"/>
        <v>-7.1428571428571388</v>
      </c>
      <c r="Z70" s="208">
        <f t="shared" si="8"/>
        <v>75.774647887323951</v>
      </c>
      <c r="AA70" s="188">
        <f t="shared" si="9"/>
        <v>-24.225352112676049</v>
      </c>
      <c r="AB70" s="184"/>
      <c r="AC70" s="181"/>
      <c r="AD70" s="180"/>
      <c r="AE70" s="180"/>
      <c r="AF70" s="180"/>
      <c r="AG70" s="180"/>
    </row>
    <row r="71" spans="1:33" ht="23.25" thickBot="1" x14ac:dyDescent="0.25">
      <c r="A71" s="169" t="s">
        <v>65</v>
      </c>
      <c r="B71" s="163">
        <v>167</v>
      </c>
      <c r="C71" s="163">
        <v>21</v>
      </c>
      <c r="D71" s="163">
        <v>3</v>
      </c>
      <c r="E71" s="163">
        <v>0</v>
      </c>
      <c r="F71" s="163">
        <v>143</v>
      </c>
      <c r="G71" s="163">
        <v>31</v>
      </c>
      <c r="H71" s="163">
        <v>112</v>
      </c>
      <c r="I71" s="9">
        <v>167</v>
      </c>
      <c r="J71" s="9">
        <v>21</v>
      </c>
      <c r="K71" s="31">
        <v>0</v>
      </c>
      <c r="L71" s="9">
        <v>3</v>
      </c>
      <c r="M71" s="31">
        <v>0</v>
      </c>
      <c r="N71" s="173">
        <f t="shared" si="0"/>
        <v>143</v>
      </c>
      <c r="O71" s="9">
        <v>31</v>
      </c>
      <c r="P71" s="176">
        <v>112</v>
      </c>
      <c r="Q71" s="223" t="s">
        <v>65</v>
      </c>
      <c r="R71" s="224">
        <f t="shared" si="1"/>
        <v>100</v>
      </c>
      <c r="S71" s="233">
        <f t="shared" si="2"/>
        <v>0</v>
      </c>
      <c r="T71" s="234">
        <f t="shared" si="3"/>
        <v>100</v>
      </c>
      <c r="U71" s="235">
        <f t="shared" si="4"/>
        <v>0</v>
      </c>
      <c r="V71" s="224">
        <f t="shared" si="10"/>
        <v>100</v>
      </c>
      <c r="W71" s="233">
        <f t="shared" si="5"/>
        <v>0</v>
      </c>
      <c r="X71" s="234">
        <f t="shared" si="6"/>
        <v>100</v>
      </c>
      <c r="Y71" s="242">
        <f t="shared" si="7"/>
        <v>0</v>
      </c>
      <c r="Z71" s="237">
        <f t="shared" si="8"/>
        <v>99.999999999999986</v>
      </c>
      <c r="AA71" s="243">
        <f t="shared" si="9"/>
        <v>0</v>
      </c>
      <c r="AB71" s="184"/>
      <c r="AC71" s="181"/>
      <c r="AD71" s="180"/>
      <c r="AE71" s="180"/>
      <c r="AF71" s="180"/>
      <c r="AG71" s="180"/>
    </row>
    <row r="72" spans="1:33" ht="35.25" thickTop="1" x14ac:dyDescent="0.25">
      <c r="A72" s="167" t="s">
        <v>199</v>
      </c>
      <c r="B72" s="168">
        <v>1351</v>
      </c>
      <c r="C72" s="168">
        <v>93</v>
      </c>
      <c r="D72" s="168">
        <v>110</v>
      </c>
      <c r="E72" s="163">
        <v>0</v>
      </c>
      <c r="F72" s="168">
        <v>1148</v>
      </c>
      <c r="G72" s="168">
        <v>78</v>
      </c>
      <c r="H72" s="168">
        <v>1070</v>
      </c>
      <c r="I72" s="7">
        <v>1265</v>
      </c>
      <c r="J72" s="7">
        <v>92</v>
      </c>
      <c r="K72" s="31">
        <v>0</v>
      </c>
      <c r="L72" s="7">
        <v>110</v>
      </c>
      <c r="M72" s="7">
        <v>1</v>
      </c>
      <c r="N72" s="173">
        <f t="shared" si="0"/>
        <v>1055</v>
      </c>
      <c r="O72" s="7">
        <v>77</v>
      </c>
      <c r="P72" s="175">
        <v>978</v>
      </c>
      <c r="Q72" s="210" t="s">
        <v>232</v>
      </c>
      <c r="R72" s="211">
        <f t="shared" si="1"/>
        <v>93.634344929681717</v>
      </c>
      <c r="S72" s="212">
        <f t="shared" si="2"/>
        <v>-6.365655070318283</v>
      </c>
      <c r="T72" s="213">
        <f t="shared" si="3"/>
        <v>98.924731182795696</v>
      </c>
      <c r="U72" s="214">
        <f t="shared" si="4"/>
        <v>-1.0752688172043037</v>
      </c>
      <c r="V72" s="211">
        <f t="shared" si="10"/>
        <v>99.999999999999986</v>
      </c>
      <c r="W72" s="232">
        <f t="shared" si="5"/>
        <v>0</v>
      </c>
      <c r="X72" s="213">
        <f t="shared" si="6"/>
        <v>98.717948717948715</v>
      </c>
      <c r="Y72" s="214">
        <f t="shared" si="7"/>
        <v>-1.2820512820512846</v>
      </c>
      <c r="Z72" s="211">
        <f t="shared" si="8"/>
        <v>91.401869158878512</v>
      </c>
      <c r="AA72" s="239">
        <f t="shared" si="9"/>
        <v>-8.5981308411214883</v>
      </c>
      <c r="AB72" s="184"/>
      <c r="AC72" s="181"/>
      <c r="AD72" s="180"/>
      <c r="AE72" s="180"/>
      <c r="AF72" s="180"/>
      <c r="AG72" s="180"/>
    </row>
    <row r="73" spans="1:33" ht="22.5" x14ac:dyDescent="0.2">
      <c r="A73" s="169" t="s">
        <v>67</v>
      </c>
      <c r="B73" s="163">
        <v>458</v>
      </c>
      <c r="C73" s="163">
        <v>24</v>
      </c>
      <c r="D73" s="163">
        <v>2</v>
      </c>
      <c r="E73" s="163">
        <v>0</v>
      </c>
      <c r="F73" s="163">
        <v>432</v>
      </c>
      <c r="G73" s="163">
        <v>13</v>
      </c>
      <c r="H73" s="163">
        <v>419</v>
      </c>
      <c r="I73" s="9">
        <v>393</v>
      </c>
      <c r="J73" s="9">
        <v>24</v>
      </c>
      <c r="K73" s="31">
        <v>0</v>
      </c>
      <c r="L73" s="9">
        <v>2</v>
      </c>
      <c r="M73" s="31">
        <v>0</v>
      </c>
      <c r="N73" s="173">
        <f t="shared" si="0"/>
        <v>367</v>
      </c>
      <c r="O73" s="9">
        <v>13</v>
      </c>
      <c r="P73" s="176">
        <v>354</v>
      </c>
      <c r="Q73" s="190" t="s">
        <v>67</v>
      </c>
      <c r="R73" s="195">
        <f t="shared" si="1"/>
        <v>85.807860262008731</v>
      </c>
      <c r="S73" s="196">
        <f t="shared" si="2"/>
        <v>-14.192139737991269</v>
      </c>
      <c r="T73" s="192">
        <f t="shared" si="3"/>
        <v>100</v>
      </c>
      <c r="U73" s="202">
        <f t="shared" si="4"/>
        <v>0</v>
      </c>
      <c r="V73" s="195">
        <f t="shared" si="10"/>
        <v>100</v>
      </c>
      <c r="W73" s="197">
        <f t="shared" si="5"/>
        <v>0</v>
      </c>
      <c r="X73" s="192">
        <f t="shared" si="6"/>
        <v>100</v>
      </c>
      <c r="Y73" s="205">
        <f t="shared" si="7"/>
        <v>0</v>
      </c>
      <c r="Z73" s="208">
        <f t="shared" si="8"/>
        <v>84.486873508353213</v>
      </c>
      <c r="AA73" s="188">
        <f t="shared" si="9"/>
        <v>-15.513126491646787</v>
      </c>
      <c r="AB73" s="184"/>
      <c r="AC73" s="181"/>
      <c r="AD73" s="180"/>
      <c r="AE73" s="180"/>
      <c r="AF73" s="180"/>
      <c r="AG73" s="180"/>
    </row>
    <row r="74" spans="1:33" ht="22.5" x14ac:dyDescent="0.2">
      <c r="A74" s="169" t="s">
        <v>68</v>
      </c>
      <c r="B74" s="163">
        <v>94</v>
      </c>
      <c r="C74" s="163">
        <v>5</v>
      </c>
      <c r="D74" s="163">
        <v>68</v>
      </c>
      <c r="E74" s="163">
        <v>0</v>
      </c>
      <c r="F74" s="163">
        <v>21</v>
      </c>
      <c r="G74" s="163">
        <v>5</v>
      </c>
      <c r="H74" s="163">
        <v>16</v>
      </c>
      <c r="I74" s="9">
        <v>94</v>
      </c>
      <c r="J74" s="9">
        <v>5</v>
      </c>
      <c r="K74" s="31">
        <v>0</v>
      </c>
      <c r="L74" s="9">
        <v>68</v>
      </c>
      <c r="M74" s="31">
        <v>0</v>
      </c>
      <c r="N74" s="173">
        <f t="shared" si="0"/>
        <v>21</v>
      </c>
      <c r="O74" s="9">
        <v>5</v>
      </c>
      <c r="P74" s="176">
        <v>16</v>
      </c>
      <c r="Q74" s="190" t="s">
        <v>68</v>
      </c>
      <c r="R74" s="195">
        <f t="shared" si="1"/>
        <v>100</v>
      </c>
      <c r="S74" s="197">
        <f t="shared" si="2"/>
        <v>0</v>
      </c>
      <c r="T74" s="192">
        <f t="shared" si="3"/>
        <v>100</v>
      </c>
      <c r="U74" s="202">
        <f t="shared" si="4"/>
        <v>0</v>
      </c>
      <c r="V74" s="195">
        <f t="shared" si="10"/>
        <v>99.999999999999986</v>
      </c>
      <c r="W74" s="197">
        <f t="shared" si="5"/>
        <v>0</v>
      </c>
      <c r="X74" s="192">
        <f t="shared" si="6"/>
        <v>100</v>
      </c>
      <c r="Y74" s="205">
        <f t="shared" si="7"/>
        <v>0</v>
      </c>
      <c r="Z74" s="208">
        <f t="shared" si="8"/>
        <v>100</v>
      </c>
      <c r="AA74" s="186">
        <f t="shared" si="9"/>
        <v>0</v>
      </c>
      <c r="AB74" s="184"/>
      <c r="AC74" s="181"/>
      <c r="AD74" s="180"/>
      <c r="AE74" s="180"/>
      <c r="AF74" s="180"/>
      <c r="AG74" s="180"/>
    </row>
    <row r="75" spans="1:33" ht="33.75" x14ac:dyDescent="0.2">
      <c r="A75" s="169" t="s">
        <v>211</v>
      </c>
      <c r="B75" s="163">
        <f>483-B76-B77</f>
        <v>319</v>
      </c>
      <c r="C75" s="163">
        <f>37-C76-C77</f>
        <v>21</v>
      </c>
      <c r="D75" s="163">
        <f>24-D76-D77</f>
        <v>5</v>
      </c>
      <c r="E75" s="163">
        <v>0</v>
      </c>
      <c r="F75" s="163">
        <f>422-F76-F77</f>
        <v>293</v>
      </c>
      <c r="G75" s="163">
        <f>33-G76-G77</f>
        <v>0</v>
      </c>
      <c r="H75" s="163">
        <f>389-H76-H77</f>
        <v>293</v>
      </c>
      <c r="I75" s="9">
        <v>299</v>
      </c>
      <c r="J75" s="9">
        <v>20</v>
      </c>
      <c r="K75" s="31">
        <v>0</v>
      </c>
      <c r="L75" s="9">
        <v>6</v>
      </c>
      <c r="M75" s="31">
        <v>0</v>
      </c>
      <c r="N75" s="173">
        <f t="shared" ref="N75:N101" si="11">O75+P75</f>
        <v>273</v>
      </c>
      <c r="O75" s="29">
        <v>0</v>
      </c>
      <c r="P75" s="176">
        <v>273</v>
      </c>
      <c r="Q75" s="190" t="s">
        <v>211</v>
      </c>
      <c r="R75" s="195">
        <f t="shared" ref="R75:R101" si="12">I75/(B75/100)</f>
        <v>93.730407523510976</v>
      </c>
      <c r="S75" s="196">
        <f t="shared" ref="S75:S101" si="13">R75-100</f>
        <v>-6.2695924764890236</v>
      </c>
      <c r="T75" s="192">
        <f t="shared" ref="T75:T101" si="14">J75/(C75/100)</f>
        <v>95.238095238095241</v>
      </c>
      <c r="U75" s="201">
        <f t="shared" ref="U75:U101" si="15">T75-100</f>
        <v>-4.7619047619047592</v>
      </c>
      <c r="V75" s="195">
        <f t="shared" si="10"/>
        <v>120</v>
      </c>
      <c r="W75" s="198">
        <f t="shared" ref="W75:W101" si="16">V75-100</f>
        <v>20</v>
      </c>
      <c r="X75" s="193" t="s">
        <v>238</v>
      </c>
      <c r="Y75" s="206"/>
      <c r="Z75" s="208">
        <f t="shared" ref="Z75:Z101" si="17">P75/(H75/100)</f>
        <v>93.174061433447093</v>
      </c>
      <c r="AA75" s="188">
        <f t="shared" ref="AA75:AA101" si="18">Z75-100</f>
        <v>-6.8259385665529067</v>
      </c>
      <c r="AB75" s="184"/>
      <c r="AC75" s="181"/>
      <c r="AD75" s="180"/>
      <c r="AE75" s="180"/>
      <c r="AF75" s="180"/>
      <c r="AG75" s="180"/>
    </row>
    <row r="76" spans="1:33" ht="39.75" customHeight="1" x14ac:dyDescent="0.2">
      <c r="A76" s="170" t="s">
        <v>212</v>
      </c>
      <c r="B76" s="163">
        <v>106</v>
      </c>
      <c r="C76" s="163">
        <v>9</v>
      </c>
      <c r="D76" s="163">
        <v>13</v>
      </c>
      <c r="E76" s="163">
        <v>0</v>
      </c>
      <c r="F76" s="163">
        <v>84</v>
      </c>
      <c r="G76" s="163">
        <v>26</v>
      </c>
      <c r="H76" s="163">
        <v>58</v>
      </c>
      <c r="I76" s="9">
        <v>105</v>
      </c>
      <c r="J76" s="9">
        <v>9</v>
      </c>
      <c r="K76" s="31">
        <v>0</v>
      </c>
      <c r="L76" s="9">
        <v>13</v>
      </c>
      <c r="M76" s="31">
        <v>0</v>
      </c>
      <c r="N76" s="173">
        <f t="shared" si="11"/>
        <v>83</v>
      </c>
      <c r="O76" s="9">
        <v>26</v>
      </c>
      <c r="P76" s="176">
        <v>57</v>
      </c>
      <c r="Q76" s="190" t="s">
        <v>223</v>
      </c>
      <c r="R76" s="195">
        <f t="shared" si="12"/>
        <v>99.056603773584897</v>
      </c>
      <c r="S76" s="196">
        <f t="shared" si="13"/>
        <v>-0.94339622641510346</v>
      </c>
      <c r="T76" s="192">
        <f t="shared" si="14"/>
        <v>100</v>
      </c>
      <c r="U76" s="202">
        <f t="shared" si="15"/>
        <v>0</v>
      </c>
      <c r="V76" s="195">
        <f t="shared" ref="V76:V101" si="19">L76/(D76/100)</f>
        <v>100</v>
      </c>
      <c r="W76" s="197">
        <f t="shared" si="16"/>
        <v>0</v>
      </c>
      <c r="X76" s="192">
        <f t="shared" ref="X76:X101" si="20">O76/(G76/100)</f>
        <v>100</v>
      </c>
      <c r="Y76" s="205">
        <f t="shared" ref="Y76:Y101" si="21">X76-100</f>
        <v>0</v>
      </c>
      <c r="Z76" s="208">
        <f t="shared" si="17"/>
        <v>98.275862068965523</v>
      </c>
      <c r="AA76" s="188">
        <f t="shared" si="18"/>
        <v>-1.7241379310344769</v>
      </c>
      <c r="AB76" s="184"/>
      <c r="AC76" s="181"/>
      <c r="AD76" s="180"/>
      <c r="AE76" s="180"/>
      <c r="AF76" s="180"/>
      <c r="AG76" s="180"/>
    </row>
    <row r="77" spans="1:33" ht="45" x14ac:dyDescent="0.2">
      <c r="A77" s="170" t="s">
        <v>200</v>
      </c>
      <c r="B77" s="163">
        <v>58</v>
      </c>
      <c r="C77" s="163">
        <v>7</v>
      </c>
      <c r="D77" s="163">
        <v>6</v>
      </c>
      <c r="E77" s="163">
        <v>0</v>
      </c>
      <c r="F77" s="163">
        <v>45</v>
      </c>
      <c r="G77" s="163">
        <v>7</v>
      </c>
      <c r="H77" s="163">
        <v>38</v>
      </c>
      <c r="I77" s="9">
        <v>55</v>
      </c>
      <c r="J77" s="9">
        <v>7</v>
      </c>
      <c r="K77" s="31">
        <v>0</v>
      </c>
      <c r="L77" s="9">
        <v>6</v>
      </c>
      <c r="M77" s="31">
        <v>0</v>
      </c>
      <c r="N77" s="173">
        <f t="shared" si="11"/>
        <v>42</v>
      </c>
      <c r="O77" s="9">
        <v>6</v>
      </c>
      <c r="P77" s="176">
        <v>36</v>
      </c>
      <c r="Q77" s="190" t="s">
        <v>200</v>
      </c>
      <c r="R77" s="195">
        <f t="shared" si="12"/>
        <v>94.827586206896555</v>
      </c>
      <c r="S77" s="196">
        <f t="shared" si="13"/>
        <v>-5.1724137931034448</v>
      </c>
      <c r="T77" s="192">
        <f t="shared" si="14"/>
        <v>99.999999999999986</v>
      </c>
      <c r="U77" s="202">
        <f t="shared" si="15"/>
        <v>0</v>
      </c>
      <c r="V77" s="195">
        <f t="shared" si="19"/>
        <v>100</v>
      </c>
      <c r="W77" s="197">
        <f t="shared" si="16"/>
        <v>0</v>
      </c>
      <c r="X77" s="192">
        <f t="shared" si="20"/>
        <v>85.714285714285708</v>
      </c>
      <c r="Y77" s="201">
        <f t="shared" si="21"/>
        <v>-14.285714285714292</v>
      </c>
      <c r="Z77" s="208">
        <f t="shared" si="17"/>
        <v>94.73684210526315</v>
      </c>
      <c r="AA77" s="188">
        <f t="shared" si="18"/>
        <v>-5.2631578947368496</v>
      </c>
      <c r="AB77" s="184"/>
      <c r="AC77" s="181"/>
      <c r="AD77" s="180"/>
      <c r="AE77" s="180"/>
      <c r="AF77" s="180"/>
      <c r="AG77" s="180"/>
    </row>
    <row r="78" spans="1:33" ht="23.25" thickBot="1" x14ac:dyDescent="0.25">
      <c r="A78" s="169" t="s">
        <v>70</v>
      </c>
      <c r="B78" s="163">
        <v>316</v>
      </c>
      <c r="C78" s="163">
        <v>27</v>
      </c>
      <c r="D78" s="163">
        <v>16</v>
      </c>
      <c r="E78" s="163">
        <v>0</v>
      </c>
      <c r="F78" s="163">
        <v>273</v>
      </c>
      <c r="G78" s="163">
        <v>27</v>
      </c>
      <c r="H78" s="163">
        <v>246</v>
      </c>
      <c r="I78" s="9">
        <v>319</v>
      </c>
      <c r="J78" s="9">
        <v>27</v>
      </c>
      <c r="K78" s="31">
        <v>0</v>
      </c>
      <c r="L78" s="9">
        <v>15</v>
      </c>
      <c r="M78" s="9">
        <v>1</v>
      </c>
      <c r="N78" s="173">
        <f t="shared" si="11"/>
        <v>269</v>
      </c>
      <c r="O78" s="9">
        <v>27</v>
      </c>
      <c r="P78" s="176">
        <v>242</v>
      </c>
      <c r="Q78" s="223" t="s">
        <v>70</v>
      </c>
      <c r="R78" s="224">
        <f t="shared" si="12"/>
        <v>100.94936708860759</v>
      </c>
      <c r="S78" s="225">
        <f t="shared" si="13"/>
        <v>0.94936708860758756</v>
      </c>
      <c r="T78" s="234">
        <f t="shared" si="14"/>
        <v>100</v>
      </c>
      <c r="U78" s="235">
        <f t="shared" si="15"/>
        <v>0</v>
      </c>
      <c r="V78" s="224">
        <f t="shared" si="19"/>
        <v>93.75</v>
      </c>
      <c r="W78" s="240">
        <f t="shared" si="16"/>
        <v>-6.25</v>
      </c>
      <c r="X78" s="234">
        <f t="shared" si="20"/>
        <v>100</v>
      </c>
      <c r="Y78" s="242">
        <f t="shared" si="21"/>
        <v>0</v>
      </c>
      <c r="Z78" s="237">
        <f t="shared" si="17"/>
        <v>98.373983739837399</v>
      </c>
      <c r="AA78" s="244">
        <f t="shared" si="18"/>
        <v>-1.6260162601626007</v>
      </c>
      <c r="AB78" s="184"/>
      <c r="AC78" s="181"/>
      <c r="AD78" s="180"/>
      <c r="AE78" s="180"/>
      <c r="AF78" s="180"/>
      <c r="AG78" s="180"/>
    </row>
    <row r="79" spans="1:33" ht="48" thickTop="1" x14ac:dyDescent="0.25">
      <c r="A79" s="167" t="s">
        <v>201</v>
      </c>
      <c r="B79" s="168">
        <v>4186</v>
      </c>
      <c r="C79" s="168">
        <v>320</v>
      </c>
      <c r="D79" s="168">
        <v>77</v>
      </c>
      <c r="E79" s="163">
        <v>0</v>
      </c>
      <c r="F79" s="168">
        <v>3789</v>
      </c>
      <c r="G79" s="168">
        <v>259</v>
      </c>
      <c r="H79" s="168">
        <v>3530</v>
      </c>
      <c r="I79" s="171">
        <f>SUM(I80:I91)</f>
        <v>3913</v>
      </c>
      <c r="J79" s="171">
        <f t="shared" ref="J79:M79" si="22">SUM(J80:J91)</f>
        <v>305</v>
      </c>
      <c r="K79" s="171">
        <f t="shared" si="22"/>
        <v>13</v>
      </c>
      <c r="L79" s="171">
        <f t="shared" si="22"/>
        <v>77</v>
      </c>
      <c r="M79" s="171">
        <f t="shared" si="22"/>
        <v>0</v>
      </c>
      <c r="N79" s="173">
        <f t="shared" si="11"/>
        <v>3518</v>
      </c>
      <c r="O79" s="172">
        <f>SUM(O80:O91)</f>
        <v>222</v>
      </c>
      <c r="P79" s="172">
        <f>SUM(P80:P91)</f>
        <v>3296</v>
      </c>
      <c r="Q79" s="210" t="s">
        <v>215</v>
      </c>
      <c r="R79" s="211">
        <f>I79/(B79/100)</f>
        <v>93.478260869565219</v>
      </c>
      <c r="S79" s="212">
        <f t="shared" si="13"/>
        <v>-6.5217391304347814</v>
      </c>
      <c r="T79" s="213">
        <f t="shared" si="14"/>
        <v>95.3125</v>
      </c>
      <c r="U79" s="214">
        <f t="shared" si="15"/>
        <v>-4.6875</v>
      </c>
      <c r="V79" s="211">
        <f t="shared" si="19"/>
        <v>100</v>
      </c>
      <c r="W79" s="232">
        <f t="shared" si="16"/>
        <v>0</v>
      </c>
      <c r="X79" s="213">
        <f t="shared" si="20"/>
        <v>85.714285714285722</v>
      </c>
      <c r="Y79" s="214">
        <f t="shared" si="21"/>
        <v>-14.285714285714278</v>
      </c>
      <c r="Z79" s="211">
        <f t="shared" si="17"/>
        <v>93.37110481586403</v>
      </c>
      <c r="AA79" s="239">
        <f t="shared" si="18"/>
        <v>-6.6288951841359705</v>
      </c>
      <c r="AB79" s="184"/>
      <c r="AC79" s="181"/>
      <c r="AD79" s="180"/>
      <c r="AE79" s="180"/>
      <c r="AF79" s="180"/>
      <c r="AG79" s="180"/>
    </row>
    <row r="80" spans="1:33" ht="22.5" x14ac:dyDescent="0.2">
      <c r="A80" s="169" t="s">
        <v>72</v>
      </c>
      <c r="B80" s="163">
        <v>103</v>
      </c>
      <c r="C80" s="163">
        <v>10</v>
      </c>
      <c r="D80" s="163">
        <v>1</v>
      </c>
      <c r="E80" s="163">
        <v>0</v>
      </c>
      <c r="F80" s="163">
        <v>92</v>
      </c>
      <c r="G80" s="163">
        <v>0</v>
      </c>
      <c r="H80" s="163">
        <v>92</v>
      </c>
      <c r="I80" s="9">
        <v>102</v>
      </c>
      <c r="J80" s="9">
        <v>10</v>
      </c>
      <c r="K80" s="31">
        <v>0</v>
      </c>
      <c r="L80" s="9">
        <v>1</v>
      </c>
      <c r="M80" s="31">
        <v>0</v>
      </c>
      <c r="N80" s="173">
        <f t="shared" si="11"/>
        <v>91</v>
      </c>
      <c r="O80" s="29">
        <v>0</v>
      </c>
      <c r="P80" s="176">
        <v>91</v>
      </c>
      <c r="Q80" s="190" t="s">
        <v>72</v>
      </c>
      <c r="R80" s="195">
        <f t="shared" si="12"/>
        <v>99.029126213592235</v>
      </c>
      <c r="S80" s="196">
        <f t="shared" si="13"/>
        <v>-0.97087378640776478</v>
      </c>
      <c r="T80" s="192">
        <f t="shared" si="14"/>
        <v>100</v>
      </c>
      <c r="U80" s="202">
        <f t="shared" si="15"/>
        <v>0</v>
      </c>
      <c r="V80" s="195">
        <f t="shared" si="19"/>
        <v>100</v>
      </c>
      <c r="W80" s="197">
        <f t="shared" si="16"/>
        <v>0</v>
      </c>
      <c r="X80" s="193" t="s">
        <v>238</v>
      </c>
      <c r="Y80" s="206"/>
      <c r="Z80" s="208">
        <f t="shared" si="17"/>
        <v>98.91304347826086</v>
      </c>
      <c r="AA80" s="188">
        <f t="shared" si="18"/>
        <v>-1.0869565217391397</v>
      </c>
      <c r="AB80" s="184"/>
      <c r="AC80" s="181"/>
      <c r="AD80" s="180"/>
      <c r="AE80" s="180"/>
      <c r="AF80" s="180"/>
      <c r="AG80" s="180"/>
    </row>
    <row r="81" spans="1:33" ht="22.5" x14ac:dyDescent="0.2">
      <c r="A81" s="169" t="s">
        <v>82</v>
      </c>
      <c r="B81" s="163">
        <v>296</v>
      </c>
      <c r="C81" s="163">
        <v>21</v>
      </c>
      <c r="D81" s="163">
        <v>2</v>
      </c>
      <c r="E81" s="163">
        <v>0</v>
      </c>
      <c r="F81" s="163">
        <v>273</v>
      </c>
      <c r="G81" s="163">
        <v>18</v>
      </c>
      <c r="H81" s="163">
        <v>255</v>
      </c>
      <c r="I81" s="9">
        <v>286</v>
      </c>
      <c r="J81" s="9">
        <v>21</v>
      </c>
      <c r="K81" s="31">
        <v>0</v>
      </c>
      <c r="L81" s="9">
        <v>2</v>
      </c>
      <c r="M81" s="31">
        <v>0</v>
      </c>
      <c r="N81" s="173">
        <f t="shared" si="11"/>
        <v>263</v>
      </c>
      <c r="O81" s="9">
        <v>16</v>
      </c>
      <c r="P81" s="176">
        <v>247</v>
      </c>
      <c r="Q81" s="190" t="s">
        <v>82</v>
      </c>
      <c r="R81" s="195">
        <f t="shared" si="12"/>
        <v>96.621621621621628</v>
      </c>
      <c r="S81" s="196">
        <f t="shared" si="13"/>
        <v>-3.3783783783783718</v>
      </c>
      <c r="T81" s="192">
        <f t="shared" si="14"/>
        <v>100</v>
      </c>
      <c r="U81" s="202">
        <f t="shared" si="15"/>
        <v>0</v>
      </c>
      <c r="V81" s="195">
        <f t="shared" si="19"/>
        <v>100</v>
      </c>
      <c r="W81" s="197">
        <f t="shared" si="16"/>
        <v>0</v>
      </c>
      <c r="X81" s="192">
        <f t="shared" si="20"/>
        <v>88.888888888888886</v>
      </c>
      <c r="Y81" s="201">
        <f t="shared" si="21"/>
        <v>-11.111111111111114</v>
      </c>
      <c r="Z81" s="208">
        <f t="shared" si="17"/>
        <v>96.862745098039227</v>
      </c>
      <c r="AA81" s="188">
        <f t="shared" si="18"/>
        <v>-3.1372549019607732</v>
      </c>
      <c r="AB81" s="184"/>
      <c r="AC81" s="181"/>
      <c r="AD81" s="180"/>
      <c r="AE81" s="180"/>
      <c r="AF81" s="180"/>
      <c r="AG81" s="180"/>
    </row>
    <row r="82" spans="1:33" ht="15.75" x14ac:dyDescent="0.2">
      <c r="A82" s="169" t="s">
        <v>73</v>
      </c>
      <c r="B82" s="163">
        <v>143</v>
      </c>
      <c r="C82" s="163">
        <v>17</v>
      </c>
      <c r="D82" s="163">
        <v>2</v>
      </c>
      <c r="E82" s="163">
        <v>0</v>
      </c>
      <c r="F82" s="163">
        <v>124</v>
      </c>
      <c r="G82" s="163">
        <v>4</v>
      </c>
      <c r="H82" s="163">
        <v>120</v>
      </c>
      <c r="I82" s="9">
        <v>143</v>
      </c>
      <c r="J82" s="9">
        <v>17</v>
      </c>
      <c r="K82" s="31">
        <v>0</v>
      </c>
      <c r="L82" s="9">
        <v>2</v>
      </c>
      <c r="M82" s="31">
        <v>0</v>
      </c>
      <c r="N82" s="173">
        <f t="shared" si="11"/>
        <v>124</v>
      </c>
      <c r="O82" s="9">
        <v>4</v>
      </c>
      <c r="P82" s="176">
        <v>120</v>
      </c>
      <c r="Q82" s="190" t="s">
        <v>73</v>
      </c>
      <c r="R82" s="195">
        <f t="shared" si="12"/>
        <v>100</v>
      </c>
      <c r="S82" s="197">
        <f t="shared" si="13"/>
        <v>0</v>
      </c>
      <c r="T82" s="192">
        <f t="shared" si="14"/>
        <v>99.999999999999986</v>
      </c>
      <c r="U82" s="202">
        <f t="shared" si="15"/>
        <v>0</v>
      </c>
      <c r="V82" s="195">
        <f t="shared" si="19"/>
        <v>100</v>
      </c>
      <c r="W82" s="197">
        <f t="shared" si="16"/>
        <v>0</v>
      </c>
      <c r="X82" s="192">
        <f t="shared" si="20"/>
        <v>100</v>
      </c>
      <c r="Y82" s="205">
        <f t="shared" si="21"/>
        <v>0</v>
      </c>
      <c r="Z82" s="208">
        <f t="shared" si="17"/>
        <v>100</v>
      </c>
      <c r="AA82" s="186">
        <f t="shared" si="18"/>
        <v>0</v>
      </c>
      <c r="AB82" s="184"/>
      <c r="AC82" s="181"/>
      <c r="AD82" s="180"/>
      <c r="AE82" s="180"/>
      <c r="AF82" s="180"/>
      <c r="AG82" s="180"/>
    </row>
    <row r="83" spans="1:33" ht="22.5" x14ac:dyDescent="0.2">
      <c r="A83" s="169" t="s">
        <v>74</v>
      </c>
      <c r="B83" s="163">
        <v>100</v>
      </c>
      <c r="C83" s="163">
        <v>8</v>
      </c>
      <c r="D83" s="163">
        <v>5</v>
      </c>
      <c r="E83" s="163">
        <v>0</v>
      </c>
      <c r="F83" s="163">
        <v>87</v>
      </c>
      <c r="G83" s="163">
        <v>6</v>
      </c>
      <c r="H83" s="163">
        <v>81</v>
      </c>
      <c r="I83" s="9">
        <v>100</v>
      </c>
      <c r="J83" s="9">
        <v>8</v>
      </c>
      <c r="K83" s="31">
        <v>0</v>
      </c>
      <c r="L83" s="9">
        <v>5</v>
      </c>
      <c r="M83" s="31">
        <v>0</v>
      </c>
      <c r="N83" s="173">
        <f t="shared" si="11"/>
        <v>87</v>
      </c>
      <c r="O83" s="9">
        <v>4</v>
      </c>
      <c r="P83" s="176">
        <v>83</v>
      </c>
      <c r="Q83" s="190" t="s">
        <v>74</v>
      </c>
      <c r="R83" s="195">
        <f t="shared" si="12"/>
        <v>100</v>
      </c>
      <c r="S83" s="197">
        <f t="shared" si="13"/>
        <v>0</v>
      </c>
      <c r="T83" s="192">
        <f t="shared" si="14"/>
        <v>100</v>
      </c>
      <c r="U83" s="202">
        <f t="shared" si="15"/>
        <v>0</v>
      </c>
      <c r="V83" s="195">
        <f t="shared" si="19"/>
        <v>100</v>
      </c>
      <c r="W83" s="197">
        <f t="shared" si="16"/>
        <v>0</v>
      </c>
      <c r="X83" s="192">
        <f t="shared" si="20"/>
        <v>66.666666666666671</v>
      </c>
      <c r="Y83" s="201">
        <f t="shared" si="21"/>
        <v>-33.333333333333329</v>
      </c>
      <c r="Z83" s="208">
        <f t="shared" si="17"/>
        <v>102.46913580246913</v>
      </c>
      <c r="AA83" s="187">
        <f t="shared" si="18"/>
        <v>2.4691358024691255</v>
      </c>
      <c r="AB83" s="184"/>
      <c r="AC83" s="181"/>
      <c r="AD83" s="180"/>
      <c r="AE83" s="180"/>
      <c r="AF83" s="180"/>
      <c r="AG83" s="180"/>
    </row>
    <row r="84" spans="1:33" ht="15.75" x14ac:dyDescent="0.2">
      <c r="A84" s="169" t="s">
        <v>75</v>
      </c>
      <c r="B84" s="163">
        <v>794</v>
      </c>
      <c r="C84" s="163">
        <v>60</v>
      </c>
      <c r="D84" s="163">
        <v>11</v>
      </c>
      <c r="E84" s="163">
        <v>0</v>
      </c>
      <c r="F84" s="163">
        <v>723</v>
      </c>
      <c r="G84" s="163">
        <v>6</v>
      </c>
      <c r="H84" s="163">
        <v>717</v>
      </c>
      <c r="I84" s="9">
        <v>717</v>
      </c>
      <c r="J84" s="9">
        <v>59</v>
      </c>
      <c r="K84" s="31">
        <v>0</v>
      </c>
      <c r="L84" s="9">
        <v>10</v>
      </c>
      <c r="M84" s="31">
        <v>0</v>
      </c>
      <c r="N84" s="173">
        <f t="shared" si="11"/>
        <v>648</v>
      </c>
      <c r="O84" s="9">
        <v>7</v>
      </c>
      <c r="P84" s="176">
        <v>641</v>
      </c>
      <c r="Q84" s="190" t="s">
        <v>75</v>
      </c>
      <c r="R84" s="195">
        <f t="shared" si="12"/>
        <v>90.302267002518889</v>
      </c>
      <c r="S84" s="196">
        <f t="shared" si="13"/>
        <v>-9.6977329974811113</v>
      </c>
      <c r="T84" s="192">
        <f t="shared" si="14"/>
        <v>98.333333333333343</v>
      </c>
      <c r="U84" s="201">
        <f t="shared" si="15"/>
        <v>-1.6666666666666572</v>
      </c>
      <c r="V84" s="195">
        <f t="shared" si="19"/>
        <v>90.909090909090907</v>
      </c>
      <c r="W84" s="196">
        <f t="shared" si="16"/>
        <v>-9.0909090909090935</v>
      </c>
      <c r="X84" s="192">
        <f t="shared" si="20"/>
        <v>116.66666666666667</v>
      </c>
      <c r="Y84" s="207">
        <f t="shared" si="21"/>
        <v>16.666666666666671</v>
      </c>
      <c r="Z84" s="208">
        <f t="shared" si="17"/>
        <v>89.400278940027889</v>
      </c>
      <c r="AA84" s="188">
        <f t="shared" si="18"/>
        <v>-10.599721059972111</v>
      </c>
      <c r="AB84" s="184"/>
      <c r="AC84" s="181"/>
      <c r="AD84" s="180"/>
      <c r="AE84" s="180"/>
      <c r="AF84" s="180"/>
      <c r="AG84" s="180"/>
    </row>
    <row r="85" spans="1:33" ht="22.5" x14ac:dyDescent="0.2">
      <c r="A85" s="169" t="s">
        <v>84</v>
      </c>
      <c r="B85" s="163">
        <v>418</v>
      </c>
      <c r="C85" s="163">
        <v>31</v>
      </c>
      <c r="D85" s="163">
        <v>4</v>
      </c>
      <c r="E85" s="163">
        <v>0</v>
      </c>
      <c r="F85" s="163">
        <v>383</v>
      </c>
      <c r="G85" s="163">
        <v>45</v>
      </c>
      <c r="H85" s="163">
        <v>338</v>
      </c>
      <c r="I85" s="9">
        <v>410</v>
      </c>
      <c r="J85" s="9">
        <v>31</v>
      </c>
      <c r="K85" s="31">
        <v>0</v>
      </c>
      <c r="L85" s="9">
        <v>4</v>
      </c>
      <c r="M85" s="31">
        <v>0</v>
      </c>
      <c r="N85" s="173">
        <f t="shared" si="11"/>
        <v>375</v>
      </c>
      <c r="O85" s="9">
        <v>42</v>
      </c>
      <c r="P85" s="176">
        <v>333</v>
      </c>
      <c r="Q85" s="190" t="s">
        <v>84</v>
      </c>
      <c r="R85" s="195">
        <f t="shared" si="12"/>
        <v>98.086124401913878</v>
      </c>
      <c r="S85" s="196">
        <f t="shared" si="13"/>
        <v>-1.913875598086122</v>
      </c>
      <c r="T85" s="192">
        <f t="shared" si="14"/>
        <v>100</v>
      </c>
      <c r="U85" s="202">
        <f t="shared" si="15"/>
        <v>0</v>
      </c>
      <c r="V85" s="195">
        <f t="shared" si="19"/>
        <v>100</v>
      </c>
      <c r="W85" s="197">
        <f t="shared" si="16"/>
        <v>0</v>
      </c>
      <c r="X85" s="192">
        <f t="shared" si="20"/>
        <v>93.333333333333329</v>
      </c>
      <c r="Y85" s="201">
        <f t="shared" si="21"/>
        <v>-6.6666666666666714</v>
      </c>
      <c r="Z85" s="208">
        <f t="shared" si="17"/>
        <v>98.520710059171606</v>
      </c>
      <c r="AA85" s="188">
        <f t="shared" si="18"/>
        <v>-1.4792899408283944</v>
      </c>
      <c r="AB85" s="184"/>
      <c r="AC85" s="181"/>
      <c r="AD85" s="180"/>
      <c r="AE85" s="180"/>
      <c r="AF85" s="180"/>
      <c r="AG85" s="180"/>
    </row>
    <row r="86" spans="1:33" ht="22.5" x14ac:dyDescent="0.2">
      <c r="A86" s="169" t="s">
        <v>76</v>
      </c>
      <c r="B86" s="163">
        <v>581</v>
      </c>
      <c r="C86" s="163">
        <v>44</v>
      </c>
      <c r="D86" s="163">
        <v>17</v>
      </c>
      <c r="E86" s="163">
        <v>0</v>
      </c>
      <c r="F86" s="163">
        <v>520</v>
      </c>
      <c r="G86" s="163">
        <v>36</v>
      </c>
      <c r="H86" s="163">
        <v>484</v>
      </c>
      <c r="I86" s="9">
        <v>569</v>
      </c>
      <c r="J86" s="9">
        <v>44</v>
      </c>
      <c r="K86" s="31">
        <v>0</v>
      </c>
      <c r="L86" s="9">
        <v>17</v>
      </c>
      <c r="M86" s="31">
        <v>0</v>
      </c>
      <c r="N86" s="173">
        <f t="shared" si="11"/>
        <v>508</v>
      </c>
      <c r="O86" s="9">
        <v>26</v>
      </c>
      <c r="P86" s="176">
        <v>482</v>
      </c>
      <c r="Q86" s="190" t="s">
        <v>76</v>
      </c>
      <c r="R86" s="195">
        <f t="shared" si="12"/>
        <v>97.934595524956976</v>
      </c>
      <c r="S86" s="196">
        <f t="shared" si="13"/>
        <v>-2.0654044750430245</v>
      </c>
      <c r="T86" s="192">
        <f t="shared" si="14"/>
        <v>100</v>
      </c>
      <c r="U86" s="202">
        <f t="shared" si="15"/>
        <v>0</v>
      </c>
      <c r="V86" s="195">
        <f t="shared" si="19"/>
        <v>99.999999999999986</v>
      </c>
      <c r="W86" s="197">
        <f t="shared" si="16"/>
        <v>0</v>
      </c>
      <c r="X86" s="192">
        <f t="shared" si="20"/>
        <v>72.222222222222229</v>
      </c>
      <c r="Y86" s="201">
        <f t="shared" si="21"/>
        <v>-27.777777777777771</v>
      </c>
      <c r="Z86" s="208">
        <f t="shared" si="17"/>
        <v>99.586776859504141</v>
      </c>
      <c r="AA86" s="188">
        <f t="shared" si="18"/>
        <v>-0.41322314049585884</v>
      </c>
      <c r="AB86" s="184"/>
      <c r="AC86" s="181"/>
      <c r="AD86" s="180"/>
      <c r="AE86" s="180"/>
      <c r="AF86" s="180"/>
      <c r="AG86" s="180"/>
    </row>
    <row r="87" spans="1:33" ht="22.5" x14ac:dyDescent="0.2">
      <c r="A87" s="169" t="s">
        <v>77</v>
      </c>
      <c r="B87" s="163">
        <v>474</v>
      </c>
      <c r="C87" s="163">
        <v>33</v>
      </c>
      <c r="D87" s="163">
        <v>9</v>
      </c>
      <c r="E87" s="163">
        <v>0</v>
      </c>
      <c r="F87" s="163">
        <v>432</v>
      </c>
      <c r="G87" s="163">
        <v>67</v>
      </c>
      <c r="H87" s="163">
        <v>365</v>
      </c>
      <c r="I87" s="9">
        <v>454</v>
      </c>
      <c r="J87" s="9">
        <v>32</v>
      </c>
      <c r="K87" s="31">
        <v>0</v>
      </c>
      <c r="L87" s="9">
        <v>10</v>
      </c>
      <c r="M87" s="31">
        <v>0</v>
      </c>
      <c r="N87" s="173">
        <f t="shared" si="11"/>
        <v>412</v>
      </c>
      <c r="O87" s="9">
        <v>58</v>
      </c>
      <c r="P87" s="176">
        <v>354</v>
      </c>
      <c r="Q87" s="190" t="s">
        <v>77</v>
      </c>
      <c r="R87" s="195">
        <f t="shared" si="12"/>
        <v>95.780590717299575</v>
      </c>
      <c r="S87" s="196">
        <f t="shared" si="13"/>
        <v>-4.2194092827004255</v>
      </c>
      <c r="T87" s="192">
        <f t="shared" si="14"/>
        <v>96.969696969696969</v>
      </c>
      <c r="U87" s="201">
        <f t="shared" si="15"/>
        <v>-3.0303030303030312</v>
      </c>
      <c r="V87" s="195">
        <f t="shared" si="19"/>
        <v>111.11111111111111</v>
      </c>
      <c r="W87" s="198">
        <f t="shared" si="16"/>
        <v>11.111111111111114</v>
      </c>
      <c r="X87" s="192">
        <f t="shared" si="20"/>
        <v>86.567164179104466</v>
      </c>
      <c r="Y87" s="201">
        <f t="shared" si="21"/>
        <v>-13.432835820895534</v>
      </c>
      <c r="Z87" s="208">
        <f t="shared" si="17"/>
        <v>96.986301369863014</v>
      </c>
      <c r="AA87" s="188">
        <f t="shared" si="18"/>
        <v>-3.0136986301369859</v>
      </c>
      <c r="AB87" s="184"/>
      <c r="AC87" s="181"/>
      <c r="AD87" s="180"/>
      <c r="AE87" s="180"/>
      <c r="AF87" s="180"/>
      <c r="AG87" s="180"/>
    </row>
    <row r="88" spans="1:33" ht="22.5" x14ac:dyDescent="0.2">
      <c r="A88" s="169" t="s">
        <v>101</v>
      </c>
      <c r="B88" s="163">
        <v>223</v>
      </c>
      <c r="C88" s="163">
        <v>18</v>
      </c>
      <c r="D88" s="163">
        <v>16</v>
      </c>
      <c r="E88" s="163">
        <v>0</v>
      </c>
      <c r="F88" s="163">
        <v>189</v>
      </c>
      <c r="G88" s="163">
        <v>22</v>
      </c>
      <c r="H88" s="163">
        <v>167</v>
      </c>
      <c r="I88" s="9">
        <v>84</v>
      </c>
      <c r="J88" s="9">
        <v>5</v>
      </c>
      <c r="K88" s="9">
        <v>13</v>
      </c>
      <c r="L88" s="9">
        <v>16</v>
      </c>
      <c r="M88" s="31">
        <v>0</v>
      </c>
      <c r="N88" s="173">
        <f t="shared" si="11"/>
        <v>50</v>
      </c>
      <c r="O88" s="9">
        <v>10</v>
      </c>
      <c r="P88" s="176">
        <v>40</v>
      </c>
      <c r="Q88" s="190" t="s">
        <v>101</v>
      </c>
      <c r="R88" s="195">
        <f t="shared" si="12"/>
        <v>37.668161434977577</v>
      </c>
      <c r="S88" s="196">
        <f t="shared" si="13"/>
        <v>-62.331838565022423</v>
      </c>
      <c r="T88" s="192">
        <f t="shared" si="14"/>
        <v>27.777777777777779</v>
      </c>
      <c r="U88" s="201">
        <f t="shared" si="15"/>
        <v>-72.222222222222229</v>
      </c>
      <c r="V88" s="195">
        <f t="shared" si="19"/>
        <v>100</v>
      </c>
      <c r="W88" s="197">
        <f t="shared" si="16"/>
        <v>0</v>
      </c>
      <c r="X88" s="192">
        <f t="shared" si="20"/>
        <v>45.454545454545453</v>
      </c>
      <c r="Y88" s="201">
        <f t="shared" si="21"/>
        <v>-54.545454545454547</v>
      </c>
      <c r="Z88" s="208">
        <f t="shared" si="17"/>
        <v>23.952095808383234</v>
      </c>
      <c r="AA88" s="188">
        <f t="shared" si="18"/>
        <v>-76.047904191616766</v>
      </c>
      <c r="AB88" s="184"/>
      <c r="AC88" s="181"/>
      <c r="AD88" s="180"/>
      <c r="AE88" s="180"/>
      <c r="AF88" s="180"/>
      <c r="AG88" s="180"/>
    </row>
    <row r="89" spans="1:33" ht="22.5" x14ac:dyDescent="0.2">
      <c r="A89" s="169" t="s">
        <v>78</v>
      </c>
      <c r="B89" s="163">
        <v>490</v>
      </c>
      <c r="C89" s="163">
        <v>30</v>
      </c>
      <c r="D89" s="163">
        <v>5</v>
      </c>
      <c r="E89" s="163">
        <v>0</v>
      </c>
      <c r="F89" s="163">
        <v>455</v>
      </c>
      <c r="G89" s="163">
        <v>26</v>
      </c>
      <c r="H89" s="163">
        <v>429</v>
      </c>
      <c r="I89" s="9">
        <v>490</v>
      </c>
      <c r="J89" s="9">
        <v>30</v>
      </c>
      <c r="K89" s="31">
        <v>0</v>
      </c>
      <c r="L89" s="9">
        <v>5</v>
      </c>
      <c r="M89" s="31">
        <v>0</v>
      </c>
      <c r="N89" s="173">
        <f t="shared" si="11"/>
        <v>455</v>
      </c>
      <c r="O89" s="9">
        <v>26</v>
      </c>
      <c r="P89" s="176">
        <v>429</v>
      </c>
      <c r="Q89" s="190" t="s">
        <v>78</v>
      </c>
      <c r="R89" s="195">
        <f t="shared" si="12"/>
        <v>99.999999999999986</v>
      </c>
      <c r="S89" s="197">
        <f t="shared" si="13"/>
        <v>0</v>
      </c>
      <c r="T89" s="192">
        <f t="shared" si="14"/>
        <v>100</v>
      </c>
      <c r="U89" s="202">
        <f t="shared" si="15"/>
        <v>0</v>
      </c>
      <c r="V89" s="195">
        <f t="shared" si="19"/>
        <v>100</v>
      </c>
      <c r="W89" s="197">
        <f t="shared" si="16"/>
        <v>0</v>
      </c>
      <c r="X89" s="192">
        <f t="shared" si="20"/>
        <v>100</v>
      </c>
      <c r="Y89" s="205">
        <f t="shared" si="21"/>
        <v>0</v>
      </c>
      <c r="Z89" s="208">
        <f t="shared" si="17"/>
        <v>100</v>
      </c>
      <c r="AA89" s="186">
        <f t="shared" si="18"/>
        <v>0</v>
      </c>
      <c r="AB89" s="184"/>
      <c r="AC89" s="181"/>
      <c r="AD89" s="180"/>
      <c r="AE89" s="180"/>
      <c r="AF89" s="180"/>
      <c r="AG89" s="180"/>
    </row>
    <row r="90" spans="1:33" ht="15.75" x14ac:dyDescent="0.2">
      <c r="A90" s="169" t="s">
        <v>79</v>
      </c>
      <c r="B90" s="163">
        <v>424</v>
      </c>
      <c r="C90" s="163">
        <v>32</v>
      </c>
      <c r="D90" s="163">
        <v>1</v>
      </c>
      <c r="E90" s="163">
        <v>0</v>
      </c>
      <c r="F90" s="163">
        <v>391</v>
      </c>
      <c r="G90" s="163">
        <v>26</v>
      </c>
      <c r="H90" s="163">
        <v>365</v>
      </c>
      <c r="I90" s="9">
        <v>423</v>
      </c>
      <c r="J90" s="9">
        <v>32</v>
      </c>
      <c r="K90" s="31">
        <v>0</v>
      </c>
      <c r="L90" s="9">
        <v>1</v>
      </c>
      <c r="M90" s="31">
        <v>0</v>
      </c>
      <c r="N90" s="173">
        <f t="shared" si="11"/>
        <v>390</v>
      </c>
      <c r="O90" s="9">
        <v>26</v>
      </c>
      <c r="P90" s="176">
        <v>364</v>
      </c>
      <c r="Q90" s="190" t="s">
        <v>79</v>
      </c>
      <c r="R90" s="195">
        <f t="shared" si="12"/>
        <v>99.764150943396217</v>
      </c>
      <c r="S90" s="196">
        <f t="shared" si="13"/>
        <v>-0.23584905660378297</v>
      </c>
      <c r="T90" s="192">
        <f t="shared" si="14"/>
        <v>100</v>
      </c>
      <c r="U90" s="202">
        <f t="shared" si="15"/>
        <v>0</v>
      </c>
      <c r="V90" s="195">
        <f t="shared" si="19"/>
        <v>100</v>
      </c>
      <c r="W90" s="197">
        <f t="shared" si="16"/>
        <v>0</v>
      </c>
      <c r="X90" s="192">
        <f t="shared" si="20"/>
        <v>100</v>
      </c>
      <c r="Y90" s="205">
        <f t="shared" si="21"/>
        <v>0</v>
      </c>
      <c r="Z90" s="208">
        <f t="shared" si="17"/>
        <v>99.726027397260282</v>
      </c>
      <c r="AA90" s="188">
        <f t="shared" si="18"/>
        <v>-0.27397260273971824</v>
      </c>
      <c r="AB90" s="184"/>
      <c r="AC90" s="181"/>
      <c r="AD90" s="180"/>
      <c r="AE90" s="180"/>
      <c r="AF90" s="180"/>
      <c r="AG90" s="180"/>
    </row>
    <row r="91" spans="1:33" ht="16.5" thickBot="1" x14ac:dyDescent="0.25">
      <c r="A91" s="169" t="s">
        <v>80</v>
      </c>
      <c r="B91" s="163">
        <v>140</v>
      </c>
      <c r="C91" s="163">
        <v>16</v>
      </c>
      <c r="D91" s="163">
        <v>4</v>
      </c>
      <c r="E91" s="163">
        <v>0</v>
      </c>
      <c r="F91" s="163">
        <v>120</v>
      </c>
      <c r="G91" s="163">
        <v>3</v>
      </c>
      <c r="H91" s="163">
        <v>117</v>
      </c>
      <c r="I91" s="9">
        <v>135</v>
      </c>
      <c r="J91" s="9">
        <v>16</v>
      </c>
      <c r="K91" s="31">
        <v>0</v>
      </c>
      <c r="L91" s="9">
        <v>4</v>
      </c>
      <c r="M91" s="31">
        <v>0</v>
      </c>
      <c r="N91" s="173">
        <f t="shared" si="11"/>
        <v>115</v>
      </c>
      <c r="O91" s="9">
        <v>3</v>
      </c>
      <c r="P91" s="176">
        <v>112</v>
      </c>
      <c r="Q91" s="223" t="s">
        <v>80</v>
      </c>
      <c r="R91" s="224">
        <f t="shared" si="12"/>
        <v>96.428571428571431</v>
      </c>
      <c r="S91" s="240">
        <f t="shared" si="13"/>
        <v>-3.5714285714285694</v>
      </c>
      <c r="T91" s="234">
        <f t="shared" si="14"/>
        <v>100</v>
      </c>
      <c r="U91" s="235">
        <f t="shared" si="15"/>
        <v>0</v>
      </c>
      <c r="V91" s="224">
        <f t="shared" si="19"/>
        <v>100</v>
      </c>
      <c r="W91" s="233">
        <f t="shared" si="16"/>
        <v>0</v>
      </c>
      <c r="X91" s="234">
        <f t="shared" si="20"/>
        <v>100</v>
      </c>
      <c r="Y91" s="242">
        <f t="shared" si="21"/>
        <v>0</v>
      </c>
      <c r="Z91" s="237">
        <f t="shared" si="17"/>
        <v>95.726495726495727</v>
      </c>
      <c r="AA91" s="244">
        <f t="shared" si="18"/>
        <v>-4.2735042735042725</v>
      </c>
      <c r="AB91" s="184"/>
      <c r="AC91" s="181"/>
      <c r="AD91" s="180"/>
      <c r="AE91" s="180"/>
      <c r="AF91" s="180"/>
      <c r="AG91" s="180"/>
    </row>
    <row r="92" spans="1:33" ht="57.75" thickTop="1" x14ac:dyDescent="0.25">
      <c r="A92" s="167" t="s">
        <v>202</v>
      </c>
      <c r="B92" s="168">
        <v>1404</v>
      </c>
      <c r="C92" s="168">
        <v>125</v>
      </c>
      <c r="D92" s="168">
        <v>48</v>
      </c>
      <c r="E92" s="163">
        <v>0</v>
      </c>
      <c r="F92" s="168">
        <v>1231</v>
      </c>
      <c r="G92" s="168">
        <v>170</v>
      </c>
      <c r="H92" s="168">
        <v>1061</v>
      </c>
      <c r="I92" s="171">
        <f>SUM(I93:I101)</f>
        <v>1265</v>
      </c>
      <c r="J92" s="171">
        <f t="shared" ref="J92:M92" si="23">SUM(J93:J101)</f>
        <v>109</v>
      </c>
      <c r="K92" s="171">
        <f t="shared" si="23"/>
        <v>3</v>
      </c>
      <c r="L92" s="171">
        <f t="shared" si="23"/>
        <v>60</v>
      </c>
      <c r="M92" s="171">
        <f t="shared" si="23"/>
        <v>0</v>
      </c>
      <c r="N92" s="173">
        <f t="shared" si="11"/>
        <v>1093</v>
      </c>
      <c r="O92" s="171">
        <f t="shared" ref="O92" si="24">SUM(O93:O101)</f>
        <v>124</v>
      </c>
      <c r="P92" s="179">
        <f t="shared" ref="P92" si="25">SUM(P93:P101)</f>
        <v>969</v>
      </c>
      <c r="Q92" s="210" t="s">
        <v>216</v>
      </c>
      <c r="R92" s="211">
        <f>I92/(B92/100)</f>
        <v>90.099715099715098</v>
      </c>
      <c r="S92" s="212">
        <f t="shared" si="13"/>
        <v>-9.9002849002849018</v>
      </c>
      <c r="T92" s="213">
        <f t="shared" si="14"/>
        <v>87.2</v>
      </c>
      <c r="U92" s="214">
        <f t="shared" si="15"/>
        <v>-12.799999999999997</v>
      </c>
      <c r="V92" s="211">
        <f t="shared" si="19"/>
        <v>125</v>
      </c>
      <c r="W92" s="215">
        <f t="shared" si="16"/>
        <v>25</v>
      </c>
      <c r="X92" s="213">
        <f t="shared" si="20"/>
        <v>72.941176470588232</v>
      </c>
      <c r="Y92" s="214">
        <f t="shared" si="21"/>
        <v>-27.058823529411768</v>
      </c>
      <c r="Z92" s="211">
        <f t="shared" si="17"/>
        <v>91.328934967012259</v>
      </c>
      <c r="AA92" s="239">
        <f t="shared" si="18"/>
        <v>-8.671065032987741</v>
      </c>
      <c r="AB92" s="184"/>
      <c r="AC92" s="181"/>
      <c r="AD92" s="180"/>
      <c r="AE92" s="180"/>
      <c r="AF92" s="180"/>
      <c r="AG92" s="180"/>
    </row>
    <row r="93" spans="1:33" ht="22.5" x14ac:dyDescent="0.2">
      <c r="A93" s="169" t="s">
        <v>83</v>
      </c>
      <c r="B93" s="163">
        <v>445</v>
      </c>
      <c r="C93" s="163">
        <v>34</v>
      </c>
      <c r="D93" s="163">
        <v>2</v>
      </c>
      <c r="E93" s="163">
        <v>0</v>
      </c>
      <c r="F93" s="163">
        <v>409</v>
      </c>
      <c r="G93" s="163">
        <v>48</v>
      </c>
      <c r="H93" s="163">
        <v>361</v>
      </c>
      <c r="I93" s="9">
        <v>445</v>
      </c>
      <c r="J93" s="9">
        <v>34</v>
      </c>
      <c r="K93" s="31">
        <v>0</v>
      </c>
      <c r="L93" s="9">
        <v>2</v>
      </c>
      <c r="M93" s="31">
        <v>0</v>
      </c>
      <c r="N93" s="173">
        <f t="shared" si="11"/>
        <v>409</v>
      </c>
      <c r="O93" s="9">
        <v>48</v>
      </c>
      <c r="P93" s="176">
        <v>361</v>
      </c>
      <c r="Q93" s="190" t="s">
        <v>83</v>
      </c>
      <c r="R93" s="195">
        <f t="shared" si="12"/>
        <v>100</v>
      </c>
      <c r="S93" s="197">
        <f t="shared" si="13"/>
        <v>0</v>
      </c>
      <c r="T93" s="192">
        <f t="shared" si="14"/>
        <v>99.999999999999986</v>
      </c>
      <c r="U93" s="202">
        <f t="shared" si="15"/>
        <v>0</v>
      </c>
      <c r="V93" s="195">
        <f t="shared" si="19"/>
        <v>100</v>
      </c>
      <c r="W93" s="197">
        <f t="shared" si="16"/>
        <v>0</v>
      </c>
      <c r="X93" s="192">
        <f t="shared" si="20"/>
        <v>100</v>
      </c>
      <c r="Y93" s="205">
        <f t="shared" si="21"/>
        <v>0</v>
      </c>
      <c r="Z93" s="208">
        <f t="shared" si="17"/>
        <v>100</v>
      </c>
      <c r="AA93" s="186">
        <f t="shared" si="18"/>
        <v>0</v>
      </c>
      <c r="AB93" s="184"/>
      <c r="AC93" s="181"/>
      <c r="AD93" s="180"/>
      <c r="AE93" s="180"/>
      <c r="AF93" s="180"/>
      <c r="AG93" s="180"/>
    </row>
    <row r="94" spans="1:33" ht="15.75" x14ac:dyDescent="0.2">
      <c r="A94" s="169" t="s">
        <v>85</v>
      </c>
      <c r="B94" s="163">
        <v>68</v>
      </c>
      <c r="C94" s="163">
        <v>11</v>
      </c>
      <c r="D94" s="163">
        <v>3</v>
      </c>
      <c r="E94" s="163">
        <v>0</v>
      </c>
      <c r="F94" s="163">
        <v>54</v>
      </c>
      <c r="G94" s="163">
        <v>5</v>
      </c>
      <c r="H94" s="163">
        <v>49</v>
      </c>
      <c r="I94" s="9">
        <v>65</v>
      </c>
      <c r="J94" s="9">
        <v>11</v>
      </c>
      <c r="K94" s="31">
        <v>0</v>
      </c>
      <c r="L94" s="9">
        <v>3</v>
      </c>
      <c r="M94" s="31">
        <v>0</v>
      </c>
      <c r="N94" s="173">
        <f t="shared" si="11"/>
        <v>51</v>
      </c>
      <c r="O94" s="9">
        <v>4</v>
      </c>
      <c r="P94" s="176">
        <v>47</v>
      </c>
      <c r="Q94" s="190" t="s">
        <v>85</v>
      </c>
      <c r="R94" s="195">
        <f t="shared" si="12"/>
        <v>95.588235294117638</v>
      </c>
      <c r="S94" s="196">
        <f t="shared" si="13"/>
        <v>-4.4117647058823621</v>
      </c>
      <c r="T94" s="192">
        <f t="shared" si="14"/>
        <v>100</v>
      </c>
      <c r="U94" s="202">
        <f t="shared" si="15"/>
        <v>0</v>
      </c>
      <c r="V94" s="195">
        <f t="shared" si="19"/>
        <v>100</v>
      </c>
      <c r="W94" s="197">
        <f t="shared" si="16"/>
        <v>0</v>
      </c>
      <c r="X94" s="192">
        <f t="shared" si="20"/>
        <v>80</v>
      </c>
      <c r="Y94" s="201">
        <f t="shared" si="21"/>
        <v>-20</v>
      </c>
      <c r="Z94" s="208">
        <f t="shared" si="17"/>
        <v>95.91836734693878</v>
      </c>
      <c r="AA94" s="188">
        <f t="shared" si="18"/>
        <v>-4.0816326530612201</v>
      </c>
      <c r="AB94" s="184"/>
      <c r="AC94" s="181"/>
      <c r="AD94" s="180"/>
      <c r="AE94" s="180"/>
      <c r="AF94" s="180"/>
      <c r="AG94" s="180"/>
    </row>
    <row r="95" spans="1:33" ht="15.75" x14ac:dyDescent="0.2">
      <c r="A95" s="169" t="s">
        <v>86</v>
      </c>
      <c r="B95" s="163">
        <v>179</v>
      </c>
      <c r="C95" s="163">
        <v>22</v>
      </c>
      <c r="D95" s="163">
        <v>12</v>
      </c>
      <c r="E95" s="163">
        <v>0</v>
      </c>
      <c r="F95" s="163">
        <v>145</v>
      </c>
      <c r="G95" s="163">
        <v>28</v>
      </c>
      <c r="H95" s="163">
        <v>117</v>
      </c>
      <c r="I95" s="9">
        <v>148</v>
      </c>
      <c r="J95" s="9">
        <v>19</v>
      </c>
      <c r="K95" s="9">
        <v>3</v>
      </c>
      <c r="L95" s="9">
        <v>12</v>
      </c>
      <c r="M95" s="31">
        <v>0</v>
      </c>
      <c r="N95" s="173">
        <f t="shared" si="11"/>
        <v>114</v>
      </c>
      <c r="O95" s="9">
        <v>22</v>
      </c>
      <c r="P95" s="176">
        <v>92</v>
      </c>
      <c r="Q95" s="190" t="s">
        <v>86</v>
      </c>
      <c r="R95" s="195">
        <f t="shared" si="12"/>
        <v>82.681564245810051</v>
      </c>
      <c r="S95" s="196">
        <f t="shared" si="13"/>
        <v>-17.318435754189949</v>
      </c>
      <c r="T95" s="192">
        <f t="shared" si="14"/>
        <v>86.36363636363636</v>
      </c>
      <c r="U95" s="201">
        <f t="shared" si="15"/>
        <v>-13.63636363636364</v>
      </c>
      <c r="V95" s="195">
        <f t="shared" si="19"/>
        <v>100</v>
      </c>
      <c r="W95" s="197">
        <f t="shared" si="16"/>
        <v>0</v>
      </c>
      <c r="X95" s="192">
        <f t="shared" si="20"/>
        <v>78.571428571428569</v>
      </c>
      <c r="Y95" s="201">
        <f t="shared" si="21"/>
        <v>-21.428571428571431</v>
      </c>
      <c r="Z95" s="208">
        <f t="shared" si="17"/>
        <v>78.632478632478637</v>
      </c>
      <c r="AA95" s="188">
        <f t="shared" si="18"/>
        <v>-21.367521367521363</v>
      </c>
      <c r="AB95" s="184"/>
      <c r="AC95" s="181"/>
      <c r="AD95" s="180"/>
      <c r="AE95" s="180"/>
      <c r="AF95" s="180"/>
      <c r="AG95" s="180"/>
    </row>
    <row r="96" spans="1:33" ht="22.5" x14ac:dyDescent="0.2">
      <c r="A96" s="169" t="s">
        <v>87</v>
      </c>
      <c r="B96" s="163">
        <v>235</v>
      </c>
      <c r="C96" s="163">
        <v>17</v>
      </c>
      <c r="D96" s="163">
        <v>2</v>
      </c>
      <c r="E96" s="163">
        <v>0</v>
      </c>
      <c r="F96" s="163">
        <v>216</v>
      </c>
      <c r="G96" s="163">
        <v>29</v>
      </c>
      <c r="H96" s="163">
        <v>187</v>
      </c>
      <c r="I96" s="9">
        <v>232</v>
      </c>
      <c r="J96" s="9">
        <v>17</v>
      </c>
      <c r="K96" s="31">
        <v>0</v>
      </c>
      <c r="L96" s="9">
        <v>2</v>
      </c>
      <c r="M96" s="31">
        <v>0</v>
      </c>
      <c r="N96" s="173">
        <f t="shared" si="11"/>
        <v>213</v>
      </c>
      <c r="O96" s="9">
        <v>22</v>
      </c>
      <c r="P96" s="176">
        <v>191</v>
      </c>
      <c r="Q96" s="190" t="s">
        <v>87</v>
      </c>
      <c r="R96" s="195">
        <f t="shared" si="12"/>
        <v>98.723404255319139</v>
      </c>
      <c r="S96" s="196">
        <f t="shared" si="13"/>
        <v>-1.2765957446808613</v>
      </c>
      <c r="T96" s="192">
        <f t="shared" si="14"/>
        <v>99.999999999999986</v>
      </c>
      <c r="U96" s="202">
        <f t="shared" si="15"/>
        <v>0</v>
      </c>
      <c r="V96" s="195">
        <f t="shared" si="19"/>
        <v>100</v>
      </c>
      <c r="W96" s="197">
        <f t="shared" si="16"/>
        <v>0</v>
      </c>
      <c r="X96" s="192">
        <f t="shared" si="20"/>
        <v>75.862068965517253</v>
      </c>
      <c r="Y96" s="201">
        <f t="shared" si="21"/>
        <v>-24.137931034482747</v>
      </c>
      <c r="Z96" s="208">
        <f t="shared" si="17"/>
        <v>102.13903743315507</v>
      </c>
      <c r="AA96" s="187">
        <f t="shared" si="18"/>
        <v>2.1390374331550674</v>
      </c>
      <c r="AB96" s="184"/>
      <c r="AC96" s="181"/>
      <c r="AD96" s="180"/>
      <c r="AE96" s="180"/>
      <c r="AF96" s="180"/>
      <c r="AG96" s="180"/>
    </row>
    <row r="97" spans="1:33" ht="22.5" x14ac:dyDescent="0.2">
      <c r="A97" s="169" t="s">
        <v>88</v>
      </c>
      <c r="B97" s="163">
        <v>316</v>
      </c>
      <c r="C97" s="163">
        <v>20</v>
      </c>
      <c r="D97" s="163">
        <v>9</v>
      </c>
      <c r="E97" s="163">
        <v>0</v>
      </c>
      <c r="F97" s="163">
        <v>287</v>
      </c>
      <c r="G97" s="163">
        <v>18</v>
      </c>
      <c r="H97" s="163">
        <v>269</v>
      </c>
      <c r="I97" s="9">
        <v>285</v>
      </c>
      <c r="J97" s="9">
        <v>20</v>
      </c>
      <c r="K97" s="31">
        <v>0</v>
      </c>
      <c r="L97" s="9">
        <v>9</v>
      </c>
      <c r="M97" s="31">
        <v>0</v>
      </c>
      <c r="N97" s="173">
        <f t="shared" si="11"/>
        <v>256</v>
      </c>
      <c r="O97" s="9">
        <v>15</v>
      </c>
      <c r="P97" s="176">
        <v>241</v>
      </c>
      <c r="Q97" s="190" t="s">
        <v>88</v>
      </c>
      <c r="R97" s="195">
        <f t="shared" si="12"/>
        <v>90.189873417721515</v>
      </c>
      <c r="S97" s="196">
        <f t="shared" si="13"/>
        <v>-9.8101265822784853</v>
      </c>
      <c r="T97" s="192">
        <f t="shared" si="14"/>
        <v>100</v>
      </c>
      <c r="U97" s="202">
        <f t="shared" si="15"/>
        <v>0</v>
      </c>
      <c r="V97" s="195">
        <f t="shared" si="19"/>
        <v>100</v>
      </c>
      <c r="W97" s="197">
        <f t="shared" si="16"/>
        <v>0</v>
      </c>
      <c r="X97" s="192">
        <f t="shared" si="20"/>
        <v>83.333333333333343</v>
      </c>
      <c r="Y97" s="201">
        <f t="shared" si="21"/>
        <v>-16.666666666666657</v>
      </c>
      <c r="Z97" s="208">
        <f t="shared" si="17"/>
        <v>89.591078066914505</v>
      </c>
      <c r="AA97" s="188">
        <f t="shared" si="18"/>
        <v>-10.408921933085495</v>
      </c>
      <c r="AB97" s="184"/>
      <c r="AC97" s="181"/>
      <c r="AD97" s="180"/>
      <c r="AE97" s="180"/>
      <c r="AF97" s="180"/>
      <c r="AG97" s="180"/>
    </row>
    <row r="98" spans="1:33" ht="22.5" x14ac:dyDescent="0.2">
      <c r="A98" s="169" t="s">
        <v>89</v>
      </c>
      <c r="B98" s="163">
        <v>49</v>
      </c>
      <c r="C98" s="163">
        <v>8</v>
      </c>
      <c r="D98" s="163">
        <v>1</v>
      </c>
      <c r="E98" s="163">
        <v>0</v>
      </c>
      <c r="F98" s="163">
        <v>40</v>
      </c>
      <c r="G98" s="163">
        <v>20</v>
      </c>
      <c r="H98" s="163">
        <v>20</v>
      </c>
      <c r="I98" s="9">
        <v>9</v>
      </c>
      <c r="J98" s="30">
        <v>0</v>
      </c>
      <c r="K98" s="31">
        <v>0</v>
      </c>
      <c r="L98" s="9">
        <v>9</v>
      </c>
      <c r="M98" s="31">
        <v>0</v>
      </c>
      <c r="N98" s="173">
        <f t="shared" si="11"/>
        <v>0</v>
      </c>
      <c r="O98" s="29">
        <v>0</v>
      </c>
      <c r="P98" s="177">
        <v>0</v>
      </c>
      <c r="Q98" s="190" t="s">
        <v>89</v>
      </c>
      <c r="R98" s="195">
        <f t="shared" si="12"/>
        <v>18.367346938775512</v>
      </c>
      <c r="S98" s="196">
        <f t="shared" si="13"/>
        <v>-81.632653061224488</v>
      </c>
      <c r="T98" s="192">
        <f t="shared" si="14"/>
        <v>0</v>
      </c>
      <c r="U98" s="201">
        <f t="shared" si="15"/>
        <v>-100</v>
      </c>
      <c r="V98" s="195">
        <f t="shared" si="19"/>
        <v>900</v>
      </c>
      <c r="W98" s="198">
        <f t="shared" si="16"/>
        <v>800</v>
      </c>
      <c r="X98" s="192">
        <f t="shared" si="20"/>
        <v>0</v>
      </c>
      <c r="Y98" s="201">
        <f t="shared" si="21"/>
        <v>-100</v>
      </c>
      <c r="Z98" s="208">
        <f t="shared" si="17"/>
        <v>0</v>
      </c>
      <c r="AA98" s="188">
        <f t="shared" si="18"/>
        <v>-100</v>
      </c>
      <c r="AB98" s="184"/>
      <c r="AC98" s="181"/>
      <c r="AD98" s="180"/>
      <c r="AE98" s="180"/>
      <c r="AF98" s="180"/>
      <c r="AG98" s="180"/>
    </row>
    <row r="99" spans="1:33" ht="22.5" x14ac:dyDescent="0.2">
      <c r="A99" s="169" t="s">
        <v>90</v>
      </c>
      <c r="B99" s="163">
        <v>25</v>
      </c>
      <c r="C99" s="163">
        <v>2</v>
      </c>
      <c r="D99" s="163">
        <v>17</v>
      </c>
      <c r="E99" s="163">
        <v>0</v>
      </c>
      <c r="F99" s="163">
        <v>6</v>
      </c>
      <c r="G99" s="163">
        <v>3</v>
      </c>
      <c r="H99" s="163">
        <v>3</v>
      </c>
      <c r="I99" s="9">
        <v>18</v>
      </c>
      <c r="J99" s="30">
        <v>0</v>
      </c>
      <c r="K99" s="31">
        <v>0</v>
      </c>
      <c r="L99" s="9">
        <v>18</v>
      </c>
      <c r="M99" s="31">
        <v>0</v>
      </c>
      <c r="N99" s="173">
        <f t="shared" si="11"/>
        <v>0</v>
      </c>
      <c r="O99" s="29">
        <v>0</v>
      </c>
      <c r="P99" s="177">
        <v>0</v>
      </c>
      <c r="Q99" s="190" t="s">
        <v>90</v>
      </c>
      <c r="R99" s="195">
        <f t="shared" si="12"/>
        <v>72</v>
      </c>
      <c r="S99" s="196">
        <f t="shared" si="13"/>
        <v>-28</v>
      </c>
      <c r="T99" s="192">
        <f t="shared" si="14"/>
        <v>0</v>
      </c>
      <c r="U99" s="201">
        <f t="shared" si="15"/>
        <v>-100</v>
      </c>
      <c r="V99" s="195">
        <f t="shared" si="19"/>
        <v>105.88235294117646</v>
      </c>
      <c r="W99" s="198">
        <f t="shared" si="16"/>
        <v>5.8823529411764639</v>
      </c>
      <c r="X99" s="192">
        <f t="shared" si="20"/>
        <v>0</v>
      </c>
      <c r="Y99" s="201">
        <f t="shared" si="21"/>
        <v>-100</v>
      </c>
      <c r="Z99" s="208">
        <f t="shared" si="17"/>
        <v>0</v>
      </c>
      <c r="AA99" s="188">
        <f t="shared" si="18"/>
        <v>-100</v>
      </c>
      <c r="AB99" s="184"/>
      <c r="AC99" s="181"/>
      <c r="AD99" s="180"/>
      <c r="AE99" s="180"/>
      <c r="AF99" s="180"/>
      <c r="AG99" s="180"/>
    </row>
    <row r="100" spans="1:33" ht="33.75" x14ac:dyDescent="0.2">
      <c r="A100" s="169" t="s">
        <v>91</v>
      </c>
      <c r="B100" s="163">
        <v>36</v>
      </c>
      <c r="C100" s="163">
        <v>5</v>
      </c>
      <c r="D100" s="163">
        <v>1</v>
      </c>
      <c r="E100" s="163">
        <v>0</v>
      </c>
      <c r="F100" s="163">
        <v>30</v>
      </c>
      <c r="G100" s="163">
        <v>12</v>
      </c>
      <c r="H100" s="163">
        <v>18</v>
      </c>
      <c r="I100" s="9">
        <v>33</v>
      </c>
      <c r="J100" s="9">
        <v>5</v>
      </c>
      <c r="K100" s="31">
        <v>0</v>
      </c>
      <c r="L100" s="9">
        <v>1</v>
      </c>
      <c r="M100" s="31">
        <v>0</v>
      </c>
      <c r="N100" s="173">
        <f t="shared" si="11"/>
        <v>27</v>
      </c>
      <c r="O100" s="9">
        <v>10</v>
      </c>
      <c r="P100" s="176">
        <v>17</v>
      </c>
      <c r="Q100" s="190" t="s">
        <v>91</v>
      </c>
      <c r="R100" s="195">
        <f t="shared" si="12"/>
        <v>91.666666666666671</v>
      </c>
      <c r="S100" s="196">
        <f t="shared" si="13"/>
        <v>-8.3333333333333286</v>
      </c>
      <c r="T100" s="192">
        <f t="shared" si="14"/>
        <v>100</v>
      </c>
      <c r="U100" s="202">
        <f t="shared" si="15"/>
        <v>0</v>
      </c>
      <c r="V100" s="195">
        <f t="shared" si="19"/>
        <v>100</v>
      </c>
      <c r="W100" s="197">
        <f t="shared" si="16"/>
        <v>0</v>
      </c>
      <c r="X100" s="192">
        <f t="shared" si="20"/>
        <v>83.333333333333343</v>
      </c>
      <c r="Y100" s="201">
        <f t="shared" si="21"/>
        <v>-16.666666666666657</v>
      </c>
      <c r="Z100" s="208">
        <f t="shared" si="17"/>
        <v>94.444444444444443</v>
      </c>
      <c r="AA100" s="188">
        <f t="shared" si="18"/>
        <v>-5.5555555555555571</v>
      </c>
      <c r="AB100" s="184"/>
      <c r="AC100" s="181"/>
      <c r="AD100" s="180"/>
      <c r="AE100" s="180"/>
      <c r="AF100" s="180"/>
      <c r="AG100" s="180"/>
    </row>
    <row r="101" spans="1:33" ht="34.5" thickBot="1" x14ac:dyDescent="0.25">
      <c r="A101" s="169" t="s">
        <v>92</v>
      </c>
      <c r="B101" s="163">
        <v>51</v>
      </c>
      <c r="C101" s="163">
        <v>6</v>
      </c>
      <c r="D101" s="163">
        <v>1</v>
      </c>
      <c r="E101" s="163">
        <v>0</v>
      </c>
      <c r="F101" s="163">
        <v>44</v>
      </c>
      <c r="G101" s="163">
        <v>7</v>
      </c>
      <c r="H101" s="163">
        <v>37</v>
      </c>
      <c r="I101" s="9">
        <v>30</v>
      </c>
      <c r="J101" s="9">
        <v>3</v>
      </c>
      <c r="K101" s="31">
        <v>0</v>
      </c>
      <c r="L101" s="9">
        <v>4</v>
      </c>
      <c r="M101" s="31">
        <v>0</v>
      </c>
      <c r="N101" s="173">
        <f t="shared" si="11"/>
        <v>23</v>
      </c>
      <c r="O101" s="9">
        <v>3</v>
      </c>
      <c r="P101" s="176">
        <v>20</v>
      </c>
      <c r="Q101" s="191" t="s">
        <v>92</v>
      </c>
      <c r="R101" s="199">
        <f t="shared" si="12"/>
        <v>58.823529411764703</v>
      </c>
      <c r="S101" s="200">
        <f t="shared" si="13"/>
        <v>-41.176470588235297</v>
      </c>
      <c r="T101" s="194">
        <f t="shared" si="14"/>
        <v>50</v>
      </c>
      <c r="U101" s="203">
        <f t="shared" si="15"/>
        <v>-50</v>
      </c>
      <c r="V101" s="199">
        <f t="shared" si="19"/>
        <v>400</v>
      </c>
      <c r="W101" s="204">
        <f t="shared" si="16"/>
        <v>300</v>
      </c>
      <c r="X101" s="194">
        <f t="shared" si="20"/>
        <v>42.857142857142854</v>
      </c>
      <c r="Y101" s="203">
        <f t="shared" si="21"/>
        <v>-57.142857142857146</v>
      </c>
      <c r="Z101" s="209">
        <f t="shared" si="17"/>
        <v>54.054054054054056</v>
      </c>
      <c r="AA101" s="189">
        <f t="shared" si="18"/>
        <v>-45.945945945945944</v>
      </c>
      <c r="AB101" s="184"/>
      <c r="AC101" s="181"/>
      <c r="AD101" s="180"/>
      <c r="AE101" s="180"/>
      <c r="AF101" s="180"/>
      <c r="AG101" s="180"/>
    </row>
  </sheetData>
  <mergeCells count="34">
    <mergeCell ref="I5:P5"/>
    <mergeCell ref="J6:P6"/>
    <mergeCell ref="Q5:AA6"/>
    <mergeCell ref="A1:H1"/>
    <mergeCell ref="A5:A9"/>
    <mergeCell ref="B5:H5"/>
    <mergeCell ref="B6:B9"/>
    <mergeCell ref="C6:H6"/>
    <mergeCell ref="C7:C9"/>
    <mergeCell ref="D7:D9"/>
    <mergeCell ref="E7:E9"/>
    <mergeCell ref="F7:H7"/>
    <mergeCell ref="F8:F9"/>
    <mergeCell ref="AA7:AA9"/>
    <mergeCell ref="N8:N9"/>
    <mergeCell ref="O8:O9"/>
    <mergeCell ref="P8:P9"/>
    <mergeCell ref="G8:H8"/>
    <mergeCell ref="I6:I9"/>
    <mergeCell ref="J7:J9"/>
    <mergeCell ref="K7:K9"/>
    <mergeCell ref="L7:L9"/>
    <mergeCell ref="M7:M9"/>
    <mergeCell ref="N7:P7"/>
    <mergeCell ref="V7:V9"/>
    <mergeCell ref="W7:W9"/>
    <mergeCell ref="X7:X9"/>
    <mergeCell ref="Y7:Y9"/>
    <mergeCell ref="Z7:Z9"/>
    <mergeCell ref="R7:R9"/>
    <mergeCell ref="S7:S9"/>
    <mergeCell ref="Q7:Q9"/>
    <mergeCell ref="T7:T9"/>
    <mergeCell ref="U7:U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Качественные градации долей Му </vt:lpstr>
      <vt:lpstr>Расчёты на основе Росстата</vt:lpstr>
      <vt:lpstr>Динамика численности мун обр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Dima</dc:creator>
  <cp:keywords/>
  <dc:description>За основу взят файл Росстата "1-4. Количество муниципальных образований".</dc:description>
  <cp:lastModifiedBy>Dima</cp:lastModifiedBy>
  <dcterms:created xsi:type="dcterms:W3CDTF">2021-05-20T10:27:48Z</dcterms:created>
  <dcterms:modified xsi:type="dcterms:W3CDTF">2021-05-31T17:40:43Z</dcterms:modified>
  <cp:category/>
  <cp:contentStatus/>
</cp:coreProperties>
</file>